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KXSxktGffZU8XmHk+SoKxkKp+Jh9SarQ9oYJBPWnoX28AcPV8+0dxryEM45DSA020vkZqC0MyfienDjHoqav7w==" workbookSaltValue="UluhCCRdqeivWCd5qKUbo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E15" i="3" s="1"/>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AV18" i="21" s="1"/>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BE12" i="8"/>
  <c r="AR13" i="21"/>
  <c r="R13" i="12"/>
  <c r="BF17" i="8"/>
  <c r="AG19" i="8"/>
  <c r="E18" i="12"/>
  <c r="ER19" i="8"/>
  <c r="AE13" i="21"/>
  <c r="EL19" i="8"/>
  <c r="BE12" i="21"/>
  <c r="EQ19" i="8"/>
  <c r="EN19" i="8"/>
  <c r="BA13" i="16"/>
  <c r="E17" i="3"/>
  <c r="F16" i="10"/>
  <c r="E10" i="6"/>
  <c r="ES19" i="8"/>
  <c r="G18" i="12"/>
  <c r="W19" i="8"/>
  <c r="R8" i="9"/>
  <c r="X12" i="21" s="1"/>
  <c r="R19" i="8"/>
  <c r="F17" i="16"/>
  <c r="BL17" i="16" s="1"/>
  <c r="EP19" i="8"/>
  <c r="EP19" i="19"/>
  <c r="BH9" i="16"/>
  <c r="V15" i="11"/>
  <c r="BJ17" i="11"/>
  <c r="BH15" i="11"/>
  <c r="BH15" i="16"/>
  <c r="Q17" i="20"/>
  <c r="Q18" i="20" s="1"/>
  <c r="BL17" i="11"/>
  <c r="BK12" i="11"/>
  <c r="BF10" i="11"/>
  <c r="S17" i="16"/>
  <c r="BK9" i="11"/>
  <c r="BL12" i="11"/>
  <c r="S13" i="16"/>
  <c r="V12" i="21"/>
  <c r="P13" i="16"/>
  <c r="W13" i="20"/>
  <c r="X13" i="20" s="1"/>
  <c r="X11" i="17"/>
  <c r="V17" i="16"/>
  <c r="M18" i="2"/>
  <c r="B12" i="6"/>
  <c r="H13" i="12"/>
  <c r="BK15" i="11"/>
  <c r="BK11" i="11"/>
  <c r="X9" i="17"/>
  <c r="V11" i="11"/>
  <c r="AZ17" i="11"/>
  <c r="AP10" i="21"/>
  <c r="BI10" i="11"/>
  <c r="BM12" i="11"/>
  <c r="Q10" i="21"/>
  <c r="BH9" i="11"/>
  <c r="V9" i="11"/>
  <c r="BI15" i="11"/>
  <c r="BJ11" i="11"/>
  <c r="BJ15" i="11"/>
  <c r="R10" i="21"/>
  <c r="R13" i="21" s="1"/>
  <c r="BJ12" i="11"/>
  <c r="BI17" i="11"/>
  <c r="AP15" i="20"/>
  <c r="BG9" i="11"/>
  <c r="BG15" i="11"/>
  <c r="BL11" i="11"/>
  <c r="R17" i="20"/>
  <c r="R18" i="20" s="1"/>
  <c r="BH17" i="11"/>
  <c r="BK17" i="11"/>
  <c r="BM15" i="11"/>
  <c r="AZ9" i="11"/>
  <c r="AZ19"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V12" i="16"/>
  <c r="BU16" i="17"/>
  <c r="BU12" i="17"/>
  <c r="BV9" i="16"/>
  <c r="AA16" i="16"/>
  <c r="T13" i="16"/>
  <c r="AZ16" i="11"/>
  <c r="AZ12" i="11"/>
  <c r="S11" i="14"/>
  <c r="V11" i="14" s="1"/>
  <c r="T15" i="11"/>
  <c r="AZ11" i="11"/>
  <c r="T16" i="11"/>
  <c r="X17" i="17"/>
  <c r="BG12" i="11"/>
  <c r="S15" i="16"/>
  <c r="Q17" i="17"/>
  <c r="P15" i="17"/>
  <c r="BH10" i="11"/>
  <c r="BF12" i="11"/>
  <c r="BI9" i="11"/>
  <c r="BL15" i="11"/>
  <c r="AQ10" i="21"/>
  <c r="BL10" i="11"/>
  <c r="BJ10" i="11"/>
  <c r="BH10" i="16"/>
  <c r="BK16" i="11"/>
  <c r="Q15" i="17"/>
  <c r="BH11" i="11"/>
  <c r="BM17" i="11"/>
  <c r="BG16" i="11"/>
  <c r="BF15" i="11"/>
  <c r="T11" i="11"/>
  <c r="S17" i="17"/>
  <c r="BH16" i="11"/>
  <c r="BM9" i="11"/>
  <c r="AQ12" i="21"/>
  <c r="BH12" i="16"/>
  <c r="BJ16" i="11"/>
  <c r="BK10" i="11"/>
  <c r="BL16" i="11"/>
  <c r="BG15" i="8"/>
  <c r="BD9" i="8"/>
  <c r="BE9" i="8"/>
  <c r="L10" i="2"/>
  <c r="I19" i="8"/>
  <c r="S15" i="17"/>
  <c r="L12" i="2"/>
  <c r="X15" i="16"/>
  <c r="X18" i="16" s="1"/>
  <c r="U9" i="17"/>
  <c r="U19" i="17" s="1"/>
  <c r="V10" i="16"/>
  <c r="AP13" i="16"/>
  <c r="F11" i="11"/>
  <c r="AQ11" i="11" s="1"/>
  <c r="T18" i="17"/>
  <c r="BF15" i="13"/>
  <c r="BE16" i="13"/>
  <c r="BF16" i="13"/>
  <c r="Z20" i="20"/>
  <c r="H20" i="20"/>
  <c r="AK20" i="20"/>
  <c r="T20" i="20"/>
  <c r="O16" i="11"/>
  <c r="G18" i="14"/>
  <c r="BM18" i="16" l="1"/>
  <c r="L19" i="8"/>
  <c r="C18" i="7"/>
  <c r="AL19" i="8"/>
  <c r="AJ19" i="8"/>
  <c r="O19" i="8"/>
  <c r="D13" i="7"/>
  <c r="B13" i="7"/>
  <c r="AE13" i="17"/>
  <c r="F13" i="7"/>
  <c r="AO12" i="11"/>
  <c r="BD12" i="8"/>
  <c r="L11" i="14"/>
  <c r="BE15" i="13"/>
  <c r="AP16" i="20"/>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AP20" i="20"/>
  <c r="N20" i="20"/>
  <c r="AE20" i="20"/>
  <c r="AG20" i="20"/>
  <c r="U16" i="11"/>
  <c r="AX20" i="20"/>
  <c r="Y20" i="20"/>
  <c r="O10" i="11"/>
  <c r="AM20" i="20"/>
  <c r="Q20" i="20"/>
  <c r="AB20" i="20"/>
  <c r="AI20" i="20"/>
  <c r="AZ20" i="20"/>
  <c r="AV20" i="20"/>
  <c r="AU20" i="20"/>
  <c r="M20" i="20"/>
  <c r="AQ20" i="21"/>
  <c r="AH20" i="20"/>
  <c r="AD20" i="20"/>
  <c r="I10" i="12" l="1"/>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BI18" i="16" s="1"/>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N20" i="20"/>
  <c r="O17" i="11"/>
  <c r="AO20" i="20"/>
  <c r="H20" i="17"/>
  <c r="U17" i="11"/>
  <c r="AW20" i="11"/>
  <c r="AV20" i="21"/>
  <c r="AK19" i="20" l="1"/>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E20" i="11"/>
  <c r="U20" i="20"/>
  <c r="AC20" i="16"/>
  <c r="AI20" i="21"/>
  <c r="AR20" i="20"/>
  <c r="F20" i="12"/>
  <c r="I20" i="11"/>
  <c r="I20" i="16"/>
  <c r="O20" i="21"/>
  <c r="BF20" i="16"/>
  <c r="AH20" i="16"/>
  <c r="BJ20" i="16"/>
  <c r="AJ20" i="11"/>
  <c r="AM20" i="16"/>
  <c r="AN20" i="21"/>
  <c r="O20" i="16"/>
  <c r="W20" i="16"/>
  <c r="S20" i="11"/>
  <c r="AM20" i="17"/>
  <c r="AX20" i="16"/>
  <c r="N20" i="17"/>
  <c r="E20" i="17"/>
  <c r="N20" i="11"/>
  <c r="U20" i="16"/>
  <c r="L20" i="11"/>
  <c r="X20"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AA20" i="16"/>
  <c r="K20" i="11"/>
  <c r="AL20" i="11"/>
  <c r="F20" i="11"/>
  <c r="O20" i="11"/>
  <c r="Y20" i="21"/>
  <c r="AK20" i="16"/>
  <c r="AB20" i="17"/>
  <c r="E20" i="12"/>
  <c r="AT20" i="17"/>
  <c r="AI20" i="16"/>
  <c r="AD20" i="17"/>
  <c r="BA20" i="16"/>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<sst xmlns="http://schemas.openxmlformats.org/spreadsheetml/2006/main" count="2094" uniqueCount="914">
  <si>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</si>
  <si>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</si>
  <si>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</si>
  <si>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</si>
  <si>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</si>
  <si>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</si>
  <si>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</si>
  <si>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</si>
  <si>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</si>
  <si>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</si>
  <si>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</si>
  <si>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</si>
  <si>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</si>
  <si>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</si>
  <si>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</si>
  <si>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</si>
  <si>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</si>
  <si>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</si>
  <si>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</si>
  <si>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</si>
  <si>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</si>
  <si>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</si>
  <si>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</si>
  <si>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</si>
  <si>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</si>
  <si>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</si>
  <si>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</si>
  <si>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</si>
  <si>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</si>
  <si>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</si>
  <si>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</si>
  <si>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</si>
  <si>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</si>
  <si>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</si>
  <si>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</si>
  <si>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</si>
  <si>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</si>
  <si>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</si>
  <si>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</si>
  <si>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</si>
  <si>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</si>
  <si>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</si>
  <si>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</si>
  <si>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</si>
  <si>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</si>
  <si>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</si>
  <si>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</si>
  <si>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</si>
  <si>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</si>
  <si>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</si>
  <si>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</si>
  <si>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</si>
  <si>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</si>
  <si>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</si>
  <si>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</si>
  <si>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</si>
  <si>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</si>
  <si>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</si>
  <si>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</si>
  <si>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</si>
  <si>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</si>
  <si>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</si>
  <si>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</si>
  <si>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</si>
  <si>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</si>
  <si>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</si>
  <si>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</si>
  <si>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</si>
  <si>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</si>
  <si>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</si>
  <si>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</si>
  <si>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</si>
  <si>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</si>
  <si>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</si>
  <si>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</si>
  <si>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</si>
  <si>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</si>
  <si>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</si>
  <si>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</si>
  <si>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</si>
  <si>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</si>
  <si>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</si>
  <si>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</si>
  <si>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</si>
  <si>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</si>
  <si>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</si>
  <si>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</si>
  <si>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</si>
  <si>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</si>
  <si>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</si>
  <si>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</si>
  <si>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</si>
  <si>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</si>
  <si>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</si>
  <si>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</si>
  <si>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</si>
  <si>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</si>
  <si>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</si>
  <si>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</si>
  <si>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</si>
  <si>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</si>
  <si>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</si>
  <si>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</si>
  <si>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</si>
  <si>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</si>
  <si>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</si>
  <si>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</si>
  <si>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</si>
  <si>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</si>
  <si>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</si>
  <si>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</si>
  <si>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</si>
  <si>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</si>
  <si>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</si>
  <si>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</si>
  <si>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</si>
  <si>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</si>
  <si>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</si>
  <si>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</si>
  <si>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</si>
  <si>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</si>
  <si>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</si>
  <si>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</si>
  <si>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</si>
  <si>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</si>
  <si>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</si>
  <si>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</si>
  <si>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</si>
  <si>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</si>
  <si>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</si>
  <si>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</si>
  <si>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</si>
  <si>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</si>
  <si>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</si>
  <si>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</si>
  <si>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</si>
  <si>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</si>
  <si>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</si>
  <si>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</si>
  <si>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</si>
  <si>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</si>
  <si>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</si>
  <si>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</si>
  <si>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</si>
  <si>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</si>
  <si>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</si>
  <si>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</si>
  <si>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</si>
  <si>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</si>
  <si>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</si>
  <si>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</si>
  <si>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</si>
  <si>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</si>
  <si>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</si>
  <si>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</si>
  <si>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</si>
  <si>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</si>
  <si>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</si>
  <si>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</si>
  <si>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</si>
  <si>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</si>
  <si>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</si>
  <si>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</si>
  <si>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</si>
  <si>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</si>
  <si>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</si>
  <si>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</si>
  <si>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</si>
  <si>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</si>
  <si>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</si>
  <si>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</si>
  <si>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</si>
  <si>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</si>
  <si>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</si>
  <si>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</si>
  <si>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</si>
  <si>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</si>
  <si>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</si>
  <si>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</si>
  <si>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</si>
  <si>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</si>
  <si>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</si>
  <si>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</si>
  <si>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</si>
  <si>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</si>
  <si>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</si>
  <si>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</si>
  <si>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</si>
  <si>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</si>
  <si>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</si>
  <si>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</si>
  <si>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</si>
  <si>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</si>
  <si>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</si>
  <si>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</si>
  <si>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</si>
  <si>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</si>
  <si>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</si>
  <si>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</si>
  <si>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</si>
  <si>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</si>
  <si>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</si>
  <si>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</si>
  <si>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</si>
  <si>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</si>
  <si>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</si>
  <si>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</si>
  <si>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</si>
  <si>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</si>
  <si>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</si>
  <si>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</si>
  <si>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</si>
  <si>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</si>
  <si>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</si>
  <si>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</si>
  <si>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</si>
  <si>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</si>
  <si>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</si>
  <si>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</si>
  <si>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</si>
  <si>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</si>
  <si>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</si>
  <si>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</si>
  <si>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</si>
  <si>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</si>
  <si>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</si>
  <si>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</si>
  <si>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</si>
  <si>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</si>
  <si>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</si>
  <si>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</si>
  <si>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</si>
  <si>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</si>
  <si>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</si>
  <si>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</si>
  <si>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</si>
  <si>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</si>
  <si>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</si>
  <si>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</si>
  <si>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</si>
  <si>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</si>
  <si>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</si>
  <si>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</si>
  <si>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</si>
  <si>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</si>
  <si>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</si>
  <si>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</si>
  <si>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</si>
  <si>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</si>
  <si>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</si>
  <si>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</si>
  <si>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</si>
  <si>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</si>
  <si>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</si>
  <si>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</si>
  <si>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</si>
  <si>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</si>
  <si>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</si>
  <si>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</si>
  <si>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</si>
  <si>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</si>
  <si>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</si>
  <si>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</si>
  <si>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</si>
  <si>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</si>
  <si>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</si>
  <si>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</si>
  <si>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</si>
  <si>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</si>
  <si>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</si>
  <si>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</si>
  <si>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</si>
  <si>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</si>
  <si>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</si>
  <si>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</si>
  <si>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</si>
  <si>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</si>
  <si>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</si>
  <si>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</si>
  <si>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</si>
  <si>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</si>
  <si>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</si>
  <si>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</si>
  <si>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</si>
  <si>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</si>
  <si>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</si>
  <si>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</si>
  <si>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</si>
  <si>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</si>
  <si>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</si>
  <si>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</si>
  <si>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</si>
  <si>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</si>
  <si>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</si>
  <si>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</si>
  <si>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</si>
  <si>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</si>
  <si>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</si>
  <si>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</si>
  <si>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</si>
  <si>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</si>
  <si>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</si>
  <si>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</si>
  <si>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</si>
  <si>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</si>
  <si>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</si>
  <si>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</si>
  <si>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</si>
  <si>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</si>
  <si>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</si>
  <si>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</si>
  <si>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</si>
  <si>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</si>
  <si>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</si>
  <si>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</si>
  <si>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</si>
  <si>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</si>
  <si>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</si>
  <si>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</si>
  <si>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</si>
  <si>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</si>
  <si>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</si>
  <si>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</si>
  <si>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</si>
  <si>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</si>
  <si>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</si>
  <si>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</si>
  <si>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</si>
  <si>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</si>
  <si>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</si>
  <si>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</si>
  <si>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</si>
  <si>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</si>
  <si>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</si>
  <si>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</si>
  <si>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</si>
  <si>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</si>
  <si>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</si>
  <si>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</si>
  <si>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</si>
  <si>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</si>
  <si>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</si>
  <si>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</si>
  <si>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</si>
  <si>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</si>
  <si>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</si>
  <si>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</si>
  <si>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</si>
  <si>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</si>
  <si>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</si>
  <si>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</si>
  <si>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</si>
  <si>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</si>
  <si>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</si>
  <si>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</si>
  <si>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</si>
  <si>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</si>
  <si>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</si>
  <si>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</si>
  <si>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</si>
  <si>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</si>
  <si>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</si>
  <si>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</si>
  <si>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</si>
  <si>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</si>
  <si>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</si>
  <si>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</si>
  <si>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</si>
  <si>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</si>
  <si>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</si>
  <si>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</si>
  <si>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</si>
  <si>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</si>
  <si>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</si>
  <si>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</si>
  <si>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</si>
  <si>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</si>
  <si>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</si>
  <si>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</si>
  <si>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</si>
  <si>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</si>
  <si>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</si>
  <si>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</si>
  <si>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</si>
  <si>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</si>
  <si>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</si>
  <si>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</si>
  <si>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</si>
  <si>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</si>
  <si>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</si>
  <si>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</si>
  <si>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</si>
  <si>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</si>
  <si>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</si>
  <si>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</si>
  <si>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</si>
  <si>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</si>
  <si>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</si>
  <si>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</si>
  <si>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</si>
  <si>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</si>
  <si>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</si>
  <si>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</si>
  <si>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</si>
  <si>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</si>
  <si>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</si>
  <si>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</si>
  <si>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</si>
  <si>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</si>
  <si>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</si>
  <si>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</si>
  <si>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</si>
  <si>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</si>
  <si>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</si>
  <si>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</si>
  <si>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</si>
  <si>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</si>
  <si>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</si>
  <si>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</si>
  <si>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</si>
  <si>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</si>
  <si>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</si>
  <si>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</si>
  <si>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</si>
  <si>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</si>
  <si>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</si>
  <si>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</si>
  <si>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</si>
  <si>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</si>
  <si>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</si>
  <si>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</si>
  <si>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</si>
  <si>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</si>
  <si>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</si>
  <si>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</si>
  <si>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</si>
  <si>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</si>
  <si>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</si>
  <si>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</si>
  <si>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</si>
  <si>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</si>
  <si>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</si>
  <si>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</si>
  <si>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</si>
  <si>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</si>
  <si>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</si>
  <si>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</si>
  <si>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</si>
  <si>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</si>
  <si>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</si>
  <si>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</si>
  <si>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</si>
  <si>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</si>
  <si>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</si>
  <si>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</si>
  <si>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</si>
  <si>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</si>
  <si>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</si>
  <si>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</si>
  <si>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</si>
  <si>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</si>
  <si>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</si>
  <si>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</si>
  <si>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</si>
  <si>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</si>
  <si>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</si>
  <si>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</si>
  <si>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</si>
  <si>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</si>
  <si>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</si>
  <si>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</si>
  <si>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</si>
  <si>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</si>
  <si>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</si>
  <si>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</si>
  <si>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</si>
  <si>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</si>
  <si>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</si>
  <si>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</si>
  <si>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</si>
  <si>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</si>
  <si>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</si>
  <si>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</si>
  <si>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</si>
  <si>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</si>
  <si>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</si>
  <si>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</si>
  <si>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</si>
  <si>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</si>
  <si>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</si>
  <si>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</si>
  <si>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</si>
  <si>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</si>
  <si>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</si>
  <si>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</si>
  <si>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</si>
  <si>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</si>
  <si>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</si>
  <si>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</si>
  <si>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</si>
  <si>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</si>
  <si>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</si>
  <si>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</si>
  <si>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</si>
  <si>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</si>
  <si>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</si>
  <si>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</si>
  <si>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</si>
  <si>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</si>
  <si>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</si>
  <si>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</si>
  <si>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</si>
  <si>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</si>
  <si>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</si>
  <si>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</si>
  <si>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</si>
  <si>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</si>
  <si>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</si>
  <si>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</si>
  <si>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</si>
  <si>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</si>
  <si>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</si>
  <si>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</si>
  <si>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</si>
  <si>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</si>
  <si>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</si>
  <si>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</si>
  <si>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</si>
  <si>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</si>
  <si>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</si>
  <si>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</si>
  <si>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</si>
  <si>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</si>
  <si>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</si>
  <si>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</si>
  <si>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</si>
  <si>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</si>
  <si>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</si>
  <si>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</si>
  <si>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</si>
  <si>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</si>
  <si>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</si>
  <si>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</si>
  <si>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</si>
  <si>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</si>
  <si>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</si>
  <si>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</si>
  <si>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</si>
  <si>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</si>
  <si>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</si>
  <si>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</si>
  <si>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</si>
  <si>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</si>
  <si>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</si>
  <si>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</si>
  <si>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</si>
  <si>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</si>
  <si>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</si>
  <si>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</si>
  <si>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</si>
  <si>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</si>
  <si>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</si>
  <si>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</si>
  <si>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</si>
  <si>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</si>
  <si>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</si>
  <si>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</si>
  <si>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</si>
  <si>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</si>
  <si>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</si>
  <si>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</si>
  <si>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</si>
  <si>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</si>
  <si>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</si>
  <si>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</si>
  <si>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</si>
  <si>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</si>
  <si>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</si>
  <si>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</si>
  <si>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</si>
  <si>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</si>
  <si>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</si>
  <si>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</si>
  <si>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</si>
  <si>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</si>
  <si>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</si>
  <si>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</si>
  <si>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</si>
  <si>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</si>
  <si>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</si>
  <si>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</si>
  <si>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</si>
  <si>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</si>
  <si>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</si>
  <si>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</si>
  <si>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</si>
  <si>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</si>
  <si>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</si>
  <si>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</si>
  <si>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</si>
  <si>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</si>
  <si>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</si>
  <si>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</si>
  <si>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</si>
  <si>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</si>
  <si>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</si>
  <si>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</si>
  <si>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</si>
  <si>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</si>
  <si>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</si>
  <si>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</si>
  <si>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</si>
  <si>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</si>
  <si>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</si>
  <si>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</si>
  <si>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</si>
  <si>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</si>
  <si>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</si>
  <si>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</si>
  <si>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</si>
  <si>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</si>
  <si>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</si>
  <si>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</si>
  <si>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</si>
  <si>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</si>
  <si>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</si>
  <si>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</si>
  <si>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</si>
  <si>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</si>
  <si>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</si>
  <si>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</si>
  <si>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</si>
  <si>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</si>
  <si>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</si>
  <si>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</si>
  <si>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</si>
  <si>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</si>
  <si>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</si>
  <si>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</si>
  <si>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</si>
  <si>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</si>
  <si>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</si>
  <si>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</si>
  <si>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</si>
  <si>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</si>
  <si>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</si>
  <si>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</si>
  <si>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</si>
  <si>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</si>
  <si>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</si>
  <si>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</si>
  <si>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</si>
  <si>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</si>
  <si>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</si>
  <si>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</si>
  <si>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</si>
  <si>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</si>
  <si>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</si>
  <si>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</si>
  <si>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</si>
  <si>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</si>
  <si>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</si>
  <si>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</si>
  <si>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</si>
  <si>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</si>
  <si>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</si>
  <si>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</si>
  <si>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</si>
  <si>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</si>
  <si>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</si>
  <si>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</si>
  <si>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</si>
  <si>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</si>
  <si>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</si>
  <si>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</si>
  <si>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</si>
  <si>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</si>
  <si>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</si>
  <si>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</si>
  <si>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</si>
  <si>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</si>
  <si>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</si>
  <si>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</si>
  <si>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</si>
  <si>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</si>
  <si>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</si>
  <si>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</si>
  <si>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</si>
  <si>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</si>
  <si>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</si>
  <si>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</si>
  <si>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</si>
  <si>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</si>
  <si>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</si>
  <si>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</si>
  <si>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</si>
  <si>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</si>
  <si>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</si>
  <si>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</si>
  <si>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</si>
  <si>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</si>
  <si>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</si>
  <si>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</si>
  <si>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</si>
  <si>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</si>
  <si>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</si>
  <si>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</si>
  <si>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</si>
  <si>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</si>
  <si>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</si>
  <si>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</si>
  <si>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</si>
  <si>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</si>
  <si>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</si>
  <si>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</si>
  <si>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</si>
  <si>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</si>
  <si>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</si>
  <si>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</si>
  <si>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</si>
  <si>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</si>
  <si>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</si>
  <si>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</si>
  <si>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</si>
  <si>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</si>
  <si>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</si>
  <si>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</si>
  <si>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</si>
  <si>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</si>
  <si>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</si>
  <si>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</si>
  <si>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</si>
  <si>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</si>
  <si>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</si>
  <si>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</si>
  <si>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</si>
  <si>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</si>
  <si>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</si>
  <si>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</si>
  <si>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</si>
  <si>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</si>
  <si>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</si>
  <si>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</si>
  <si>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</si>
  <si>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</si>
  <si>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</si>
  <si>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</si>
  <si>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</si>
  <si>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</si>
  <si>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</si>
  <si>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</si>
  <si>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</si>
  <si>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</si>
  <si>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</si>
  <si>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</si>
  <si>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</si>
  <si>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</si>
  <si>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</si>
  <si>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</si>
  <si>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</si>
  <si>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</si>
  <si>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</si>
  <si>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</si>
  <si>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</si>
  <si>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</si>
  <si>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</si>
  <si>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</si>
  <si>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</si>
  <si>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</si>
  <si>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</si>
  <si>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</si>
  <si>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</si>
  <si>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</si>
  <si>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</si>
  <si>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</si>
  <si>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</si>
  <si>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</si>
  <si>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</si>
  <si>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</si>
  <si>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</si>
  <si>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</si>
  <si>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</si>
  <si>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</si>
  <si>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</si>
  <si>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</si>
  <si>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</si>
  <si>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</si>
  <si>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</si>
  <si>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</si>
  <si>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</si>
  <si>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</si>
  <si>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</si>
  <si>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</si>
  <si>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</si>
  <si>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</si>
  <si>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</si>
  <si>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</si>
  <si>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</si>
  <si>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</si>
  <si>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</si>
  <si>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</si>
  <si>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</si>
  <si>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</si>
  <si>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</si>
  <si>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</si>
  <si>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</si>
  <si>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</si>
  <si>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</si>
  <si>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</si>
  <si>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</si>
  <si>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</si>
  <si>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</si>
  <si>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</si>
  <si>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</si>
  <si>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</si>
  <si>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</si>
  <si>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</si>
  <si>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</si>
  <si>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</si>
  <si>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</si>
  <si>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</si>
  <si>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</si>
  <si>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</si>
  <si>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</si>
  <si>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</si>
  <si>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</si>
  <si>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</si>
  <si>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</si>
  <si>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</si>
  <si>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</si>
  <si>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</si>
  <si>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</si>
  <si>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</si>
  <si>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</si>
  <si>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</si>
  <si>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</si>
  <si>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</si>
  <si>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</si>
  <si>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</si>
  <si>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</si>
  <si>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</si>
  <si>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</si>
  <si>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</si>
  <si>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</si>
  <si>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</si>
  <si>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</si>
  <si>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</si>
  <si>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</si>
  <si>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</si>
  <si>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</si>
  <si>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</si>
  <si>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</si>
  <si>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</si>
  <si>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</si>
  <si>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</si>
  <si>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</si>
  <si>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</si>
  <si>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</si>
  <si>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</si>
  <si>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</si>
  <si>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</si>
  <si>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</si>
  <si>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</si>
  <si>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</si>
  <si>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</si>
  <si>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</si>
  <si>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</si>
  <si>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</si>
  <si>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</si>
  <si>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</si>
  <si>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</si>
  <si>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</si>
  <si>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</si>
  <si>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</si>
  <si>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</si>
  <si>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</si>
  <si>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</si>
  <si>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</si>
  <si>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</si>
  <si>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</si>
  <si>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</si>
  <si>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</si>
  <si>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</si>
  <si>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</si>
  <si>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</si>
  <si>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</si>
  <si>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</si>
  <si>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</si>
  <si>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</si>
  <si>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</si>
  <si>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</si>
  <si>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</si>
  <si>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</si>
  <si>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</si>
  <si>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</si>
  <si>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</si>
  <si>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</si>
  <si>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</si>
  <si>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</si>
  <si>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</si>
  <si>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</si>
  <si>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</si>
  <si>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</si>
  <si>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</si>
  <si>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</si>
  <si>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</si>
  <si>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</si>
  <si>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</si>
  <si>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</si>
  <si>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ANDALUCIA</t>
  </si>
  <si>
    <t>Provincias</t>
  </si>
  <si>
    <t>HUELVA</t>
  </si>
  <si>
    <t>Resumenes por Partidos Judiciales</t>
  </si>
  <si>
    <t>MOGUER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</si>
</sst>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Wah/vdcTN1rl/7wsxZrM9JaHe0JWgthyHy0edHU2EP732TyqXlUJnkqu7UOQ2Cm2TvwqCn4d9Rn0R4XtNrmXTg==" saltValue="ZSzXckGJsaexlC600CeOe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ANDALUCIA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0</v>
      </c>
      <c r="D10" s="225">
        <f>IF(ISNUMBER(Datos!I10),Datos!I10," - ")</f>
        <v>0</v>
      </c>
      <c r="E10" s="226">
        <f>IF(ISNUMBER(Datos!J10),Datos!J10," - ")</f>
        <v>1</v>
      </c>
      <c r="F10" s="226">
        <f>IF(ISNUMBER(Datos!K10),Datos!K10," - ")</f>
        <v>0</v>
      </c>
      <c r="G10" s="1034" t="str">
        <f>IF(Datos!E10&lt;&gt;"",Datos!E10,Datos!D10)</f>
        <v>37</v>
      </c>
      <c r="H10" s="227">
        <f>IF(ISNUMBER(Datos!L10),Datos!L10," - ")</f>
        <v>1</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42.460342146189738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0</v>
      </c>
      <c r="D13" s="1049">
        <f>SUBTOTAL(9,D9:D12)</f>
        <v>0</v>
      </c>
      <c r="E13" s="1050">
        <f>SUBTOTAL(9,E9:E12)</f>
        <v>1</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1579</v>
      </c>
      <c r="D16" s="225">
        <f>IF(ISNUMBER(IF(D_I="SI",Datos!I16,Datos!I16+Datos!AC16)),IF(D_I="SI",Datos!I16,Datos!I16+Datos!AC16)," - ")</f>
        <v>1579</v>
      </c>
      <c r="E16" s="226">
        <f>IF(ISNUMBER(IF(D_I="SI",Datos!J16,Datos!J16+Datos!AD16)),IF(D_I="SI",Datos!J16,Datos!J16+Datos!AD16)," - ")</f>
        <v>627</v>
      </c>
      <c r="F16" s="226">
        <f>IF(ISNUMBER(IF(D_I="SI",Datos!K16,Datos!K16+Datos!AE16)),IF(D_I="SI",Datos!K16,Datos!K16+Datos!AE16)," - ")</f>
        <v>544</v>
      </c>
      <c r="G16" s="1034" t="str">
        <f>IF(Datos!E16&lt;&gt;"",Datos!E16,Datos!D16)</f>
        <v>04</v>
      </c>
      <c r="H16" s="227">
        <f>IF(ISNUMBER(IF(D_I="SI",Datos!L16,Datos!L16+Datos!AF16)),IF(D_I="SI",Datos!L16,Datos!L16+Datos!AF16)," - ")</f>
        <v>1662</v>
      </c>
      <c r="I16" s="1044" t="str">
        <f>IF(ISNUMBER(Datos!AS16/Datos!BM16),Datos!AS16/Datos!BM16," - ")</f>
        <v xml:space="preserve"> - </v>
      </c>
      <c r="J16" s="1045">
        <f>IF(ISNUMBER(Datos!BY16/Datos!CN16),Datos!BY16/Datos!CN16," - ")</f>
        <v>0</v>
      </c>
      <c r="K16" s="230">
        <f t="shared" si="3"/>
        <v>5.2564914502849905E-2</v>
      </c>
      <c r="L16" s="1025">
        <f>IF(ISNUMBER(NºAsuntos!I16/NºAsuntos!G16),(NºAsuntos!I16/NºAsuntos!G16)*11," - ")</f>
        <v>33.606617647058826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95</v>
      </c>
      <c r="D17" s="225">
        <f>IF(ISNUMBER(IF(D_I="SI",Datos!I17,Datos!I17+Datos!AC17)),IF(D_I="SI",Datos!I17,Datos!I17+Datos!AC17)," - ")</f>
        <v>95</v>
      </c>
      <c r="E17" s="226">
        <f>IF(ISNUMBER(IF(D_I="SI",Datos!J17,Datos!J17+Datos!AD17)),IF(D_I="SI",Datos!J17,Datos!J17+Datos!AD17)," - ")</f>
        <v>62</v>
      </c>
      <c r="F17" s="226">
        <f>IF(ISNUMBER(IF(D_I="SI",Datos!K17,Datos!K17+Datos!AE17)),IF(D_I="SI",Datos!K17,Datos!K17+Datos!AE17)," - ")</f>
        <v>31</v>
      </c>
      <c r="G17" s="1034" t="str">
        <f>IF(Datos!E17&lt;&gt;"",Datos!E17,Datos!D17)</f>
        <v>37</v>
      </c>
      <c r="H17" s="227">
        <f>IF(ISNUMBER(IF(D_I="SI",Datos!L17,Datos!L17+Datos!AF17)),IF(D_I="SI",Datos!L17,Datos!L17+Datos!AF17)," - ")</f>
        <v>126</v>
      </c>
      <c r="I17" s="1044" t="str">
        <f>IF(ISNUMBER(Datos!AS17/Datos!BM17),Datos!AS17/Datos!BM17," - ")</f>
        <v xml:space="preserve"> - </v>
      </c>
      <c r="J17" s="1045" t="str">
        <f>IF(ISNUMBER((Datos!BY17+Datos!BZ17)/Datos!CN17),(Datos!BY17+Datos!BZ17)/Datos!CN17," - ")</f>
        <v xml:space="preserve"> - </v>
      </c>
      <c r="K17" s="230">
        <f t="shared" si="3"/>
        <v>0.32631578947368423</v>
      </c>
      <c r="L17" s="1025">
        <f>IF(ISNUMBER(NºAsuntos!I17/NºAsuntos!G17),(NºAsuntos!I17/NºAsuntos!G17)*11," - ")</f>
        <v>44.70967741935484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1674</v>
      </c>
      <c r="D18" s="1049">
        <f>SUBTOTAL(9,D15:D17)</f>
        <v>1674</v>
      </c>
      <c r="E18" s="1050">
        <f>SUBTOTAL(9,E15:E17)</f>
        <v>689</v>
      </c>
      <c r="F18" s="1050">
        <f>SUBTOTAL(9,F15:F17)</f>
        <v>575</v>
      </c>
      <c r="G18" s="1052" t="str">
        <f ca="1">INDIRECT(CONCATENATE("G",ROW()-1))</f>
        <v>37</v>
      </c>
      <c r="H18" s="1053">
        <f ca="1">SUMIF(G$14:G17,G18,H$14:H17)</f>
        <v>126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1674</v>
      </c>
      <c r="D19" s="1071">
        <f>SUBTOTAL(9,D9:D18)</f>
        <v>1674</v>
      </c>
      <c r="E19" s="1072">
        <f>SUBTOTAL(9,E9:E18)</f>
        <v>690</v>
      </c>
      <c r="F19" s="1072">
        <f>SUBTOTAL(9,F9:F18)</f>
        <v>575</v>
      </c>
      <c r="G19" s="1073"/>
      <c r="H19" s="1074">
        <f ca="1">SUMIF(B9:B18,"TOTAL",H9:H18)</f>
        <v>126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wMiM3eOrczu/nov0qPsJU5Ja+sobJwcJdlXD/kWk1W6Wt9l9cHf+rd++DFq+1+/Jo4nuP2Uw07SYlgbYuq3v7A==" saltValue="4oV0NWmf/GgRH8rIHdKU5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8kSDsyHS2CdcgjJG3EwHvPKuMpFpDU5uxqezEbeAEJci5o9BDujayIzDfQ9+bSVp4lrPQ9VR9MorUZPJVeMD5A==" saltValue="cA4bQXjWhCzWwDVK5t7QE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0</v>
      </c>
      <c r="J10" s="181">
        <v>1</v>
      </c>
      <c r="K10" s="181">
        <v>0</v>
      </c>
      <c r="L10" s="181">
        <v>1</v>
      </c>
      <c r="M10" s="181">
        <v>0</v>
      </c>
      <c r="N10" s="181">
        <v>0</v>
      </c>
      <c r="O10" s="181">
        <v>0</v>
      </c>
      <c r="P10" s="181">
        <v>0</v>
      </c>
      <c r="Q10" s="181">
        <v>0</v>
      </c>
      <c r="R10" s="181">
        <v>0</v>
      </c>
      <c r="S10" s="181">
        <v>15</v>
      </c>
      <c r="T10" s="181">
        <v>2</v>
      </c>
      <c r="U10" s="181">
        <v>7</v>
      </c>
      <c r="V10" s="181">
        <v>10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15</v>
      </c>
      <c r="AZ10" s="129">
        <f t="shared" si="0"/>
        <v>2</v>
      </c>
      <c r="BA10" s="129">
        <f t="shared" si="0"/>
        <v>7</v>
      </c>
      <c r="BB10" s="129">
        <f t="shared" si="0"/>
        <v>10</v>
      </c>
      <c r="BC10" s="125">
        <f t="shared" si="0"/>
        <v>0</v>
      </c>
      <c r="BD10" s="126">
        <f>IF(ISNUMBER(BA10/AZ10),BA10/AZ10," - ")</f>
        <v>3.5</v>
      </c>
      <c r="BE10" s="127">
        <f>IF(ISNUMBER(BB10/BA10),BB10/BA10, " - ")</f>
        <v>1.4285714285714286</v>
      </c>
      <c r="BF10" s="127">
        <f>IF(ISNUMBER(BC10/BA10),BC10/BA10, " - ")</f>
        <v>0</v>
      </c>
      <c r="BG10" s="196">
        <f>IF(ISNUMBER((AY10+AZ10)/BA10),(AY10+AZ10)/BA10," - ")</f>
        <v>2.4285714285714284</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2428</v>
      </c>
      <c r="J12" s="183">
        <v>627</v>
      </c>
      <c r="K12" s="183">
        <v>623</v>
      </c>
      <c r="L12" s="183">
        <v>2432</v>
      </c>
      <c r="M12" s="183">
        <v>87</v>
      </c>
      <c r="N12" s="183">
        <v>163</v>
      </c>
      <c r="O12" s="181">
        <v>106</v>
      </c>
      <c r="P12" s="183">
        <v>147</v>
      </c>
      <c r="Q12" s="183">
        <v>81</v>
      </c>
      <c r="R12" s="183">
        <v>2377</v>
      </c>
      <c r="S12" s="183">
        <v>2332</v>
      </c>
      <c r="T12" s="183">
        <v>636</v>
      </c>
      <c r="U12" s="183">
        <v>726</v>
      </c>
      <c r="V12" s="183">
        <v>2242</v>
      </c>
      <c r="W12" s="183">
        <v>146</v>
      </c>
      <c r="X12" s="189">
        <v>362</v>
      </c>
      <c r="Y12" s="191">
        <v>45</v>
      </c>
      <c r="Z12" s="181">
        <v>25</v>
      </c>
      <c r="AA12" s="181">
        <v>20</v>
      </c>
      <c r="AB12" s="181">
        <v>50</v>
      </c>
      <c r="AC12" s="183">
        <v>0</v>
      </c>
      <c r="AD12" s="183">
        <v>0</v>
      </c>
      <c r="AE12" s="183">
        <v>0</v>
      </c>
      <c r="AF12" s="189">
        <v>0</v>
      </c>
      <c r="AG12" s="202">
        <v>54</v>
      </c>
      <c r="AH12" s="183">
        <v>25</v>
      </c>
      <c r="AI12" s="183">
        <v>26</v>
      </c>
      <c r="AJ12" s="203">
        <v>53</v>
      </c>
      <c r="AK12" s="182">
        <v>0</v>
      </c>
      <c r="AL12" s="183">
        <v>0</v>
      </c>
      <c r="AM12" s="183">
        <v>0</v>
      </c>
      <c r="AN12" s="189">
        <v>0</v>
      </c>
      <c r="AO12" s="259">
        <v>2</v>
      </c>
      <c r="AP12" s="155">
        <v>2</v>
      </c>
      <c r="AQ12" s="155">
        <v>2</v>
      </c>
      <c r="AR12" s="154">
        <v>2</v>
      </c>
      <c r="AS12" s="340" t="s">
        <v>802</v>
      </c>
      <c r="AT12" s="203"/>
      <c r="AU12" s="202"/>
      <c r="AV12" s="203"/>
      <c r="AW12" s="202"/>
      <c r="AX12" s="203"/>
      <c r="AY12" s="126">
        <f t="shared" si="1"/>
        <v>2386</v>
      </c>
      <c r="AZ12" s="127">
        <f t="shared" si="1"/>
        <v>661</v>
      </c>
      <c r="BA12" s="127">
        <f t="shared" si="1"/>
        <v>752</v>
      </c>
      <c r="BB12" s="127">
        <f t="shared" si="1"/>
        <v>2295</v>
      </c>
      <c r="BC12" s="125">
        <f>IF(ISNUMBER(X12),X12," - ")</f>
        <v>362</v>
      </c>
      <c r="BD12" s="126">
        <f t="shared" si="2"/>
        <v>1.1376701966717095</v>
      </c>
      <c r="BE12" s="127">
        <f t="shared" si="3"/>
        <v>3.0518617021276597</v>
      </c>
      <c r="BF12" s="127">
        <f t="shared" si="4"/>
        <v>0.48138297872340424</v>
      </c>
      <c r="BG12" s="196">
        <f t="shared" si="5"/>
        <v>4.0518617021276597</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2428</v>
      </c>
      <c r="J13" s="184">
        <f t="shared" si="6"/>
        <v>628</v>
      </c>
      <c r="K13" s="184">
        <f t="shared" si="6"/>
        <v>623</v>
      </c>
      <c r="L13" s="184">
        <f t="shared" si="6"/>
        <v>2433</v>
      </c>
      <c r="M13" s="184">
        <f t="shared" si="6"/>
        <v>87</v>
      </c>
      <c r="N13" s="184">
        <f t="shared" si="6"/>
        <v>163</v>
      </c>
      <c r="O13" s="184">
        <f t="shared" si="6"/>
        <v>106</v>
      </c>
      <c r="P13" s="184">
        <f t="shared" si="6"/>
        <v>147</v>
      </c>
      <c r="Q13" s="184">
        <f t="shared" si="6"/>
        <v>81</v>
      </c>
      <c r="R13" s="184">
        <f t="shared" si="6"/>
        <v>2377</v>
      </c>
      <c r="S13" s="184">
        <f t="shared" si="6"/>
        <v>2347</v>
      </c>
      <c r="T13" s="184">
        <f t="shared" si="6"/>
        <v>638</v>
      </c>
      <c r="U13" s="184">
        <f t="shared" si="6"/>
        <v>733</v>
      </c>
      <c r="V13" s="184">
        <f t="shared" si="6"/>
        <v>2252</v>
      </c>
      <c r="W13" s="184">
        <f t="shared" si="6"/>
        <v>146</v>
      </c>
      <c r="X13" s="184">
        <f t="shared" si="6"/>
        <v>362</v>
      </c>
      <c r="Y13" s="184">
        <f t="shared" si="6"/>
        <v>45</v>
      </c>
      <c r="Z13" s="184">
        <f t="shared" si="6"/>
        <v>25</v>
      </c>
      <c r="AA13" s="184">
        <f t="shared" si="6"/>
        <v>20</v>
      </c>
      <c r="AB13" s="184">
        <f t="shared" si="6"/>
        <v>50</v>
      </c>
      <c r="AC13" s="184">
        <f t="shared" si="6"/>
        <v>0</v>
      </c>
      <c r="AD13" s="184">
        <f t="shared" si="6"/>
        <v>0</v>
      </c>
      <c r="AE13" s="184">
        <f t="shared" si="6"/>
        <v>0</v>
      </c>
      <c r="AF13" s="184">
        <f>SUBTOTAL(9,AF9:AF12)</f>
        <v>0</v>
      </c>
      <c r="AG13" s="184">
        <f t="shared" ref="AG13:AT13" si="7">SUBTOTAL(9,AG8:AG12)</f>
        <v>54</v>
      </c>
      <c r="AH13" s="184">
        <f t="shared" si="7"/>
        <v>25</v>
      </c>
      <c r="AI13" s="184">
        <f t="shared" si="7"/>
        <v>26</v>
      </c>
      <c r="AJ13" s="184">
        <f t="shared" si="7"/>
        <v>53</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2401</v>
      </c>
      <c r="AZ13" s="184">
        <f>SUBTOTAL(9,AZ8:AZ12)</f>
        <v>663</v>
      </c>
      <c r="BA13" s="184">
        <f>SUBTOTAL(9,BA8:BA12)</f>
        <v>759</v>
      </c>
      <c r="BB13" s="184">
        <f>SUBTOTAL(9,BB8:BB12)</f>
        <v>2305</v>
      </c>
      <c r="BC13" s="184">
        <f>SUBTOTAL(9,BC8:BC12)</f>
        <v>362</v>
      </c>
      <c r="BD13" s="205">
        <f>IF(ISNUMBER(BA13/AZ13),BA13/AZ13," - ")</f>
        <v>1.1447963800904977</v>
      </c>
      <c r="BE13" s="206">
        <f>IF(ISNUMBER(BB13/BA13),BB13/BA13, " - ")</f>
        <v>3.0368906455862978</v>
      </c>
      <c r="BF13" s="206">
        <f>IF(ISNUMBER(BC13/BA13),BC13/BA13, " - ")</f>
        <v>0.4769433465085639</v>
      </c>
      <c r="BG13" s="207">
        <f>IF(ISNUMBER((AY13+AZ13)/BA13),(AY13+AZ13)/BA13," - ")</f>
        <v>4.0368906455862978</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1579</v>
      </c>
      <c r="J16" s="183">
        <v>627</v>
      </c>
      <c r="K16" s="183">
        <v>544</v>
      </c>
      <c r="L16" s="183">
        <v>1662</v>
      </c>
      <c r="M16" s="183">
        <v>126</v>
      </c>
      <c r="N16" s="183">
        <v>357</v>
      </c>
      <c r="O16" s="181">
        <v>2</v>
      </c>
      <c r="P16" s="183">
        <v>6</v>
      </c>
      <c r="Q16" s="183">
        <v>5</v>
      </c>
      <c r="R16" s="183">
        <v>74</v>
      </c>
      <c r="S16" s="183">
        <v>1327</v>
      </c>
      <c r="T16" s="183">
        <v>655</v>
      </c>
      <c r="U16" s="183">
        <v>682</v>
      </c>
      <c r="V16" s="183">
        <v>1300</v>
      </c>
      <c r="W16" s="183">
        <v>86</v>
      </c>
      <c r="X16" s="189">
        <v>516</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1327</v>
      </c>
      <c r="AZ16" s="127">
        <f t="shared" si="9"/>
        <v>655</v>
      </c>
      <c r="BA16" s="127">
        <f t="shared" si="9"/>
        <v>682</v>
      </c>
      <c r="BB16" s="127">
        <f t="shared" si="9"/>
        <v>1300</v>
      </c>
      <c r="BC16" s="125">
        <f>IF(ISNUMBER(W16),W16," - ")</f>
        <v>86</v>
      </c>
      <c r="BD16" s="126">
        <f t="shared" ref="BD16" si="11">IF(ISNUMBER(BA16/AZ16),BA16/AZ16," - ")</f>
        <v>1.0412213740458016</v>
      </c>
      <c r="BE16" s="127">
        <f t="shared" ref="BE16" si="12">IF(ISNUMBER(BB16/BA16),BB16/BA16, " - ")</f>
        <v>1.9061583577712611</v>
      </c>
      <c r="BF16" s="127">
        <f t="shared" ref="BF16" si="13">IF(ISNUMBER(BC16/BA16),BC16/BA16, " - ")</f>
        <v>0.12609970674486803</v>
      </c>
      <c r="BG16" s="196">
        <f t="shared" si="10"/>
        <v>2.9061583577712611</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95</v>
      </c>
      <c r="J17" s="183">
        <v>62</v>
      </c>
      <c r="K17" s="183">
        <v>31</v>
      </c>
      <c r="L17" s="183">
        <v>126</v>
      </c>
      <c r="M17" s="183">
        <v>7</v>
      </c>
      <c r="N17" s="183">
        <v>25</v>
      </c>
      <c r="O17" s="183">
        <v>0</v>
      </c>
      <c r="P17" s="183">
        <v>0</v>
      </c>
      <c r="Q17" s="183">
        <v>0</v>
      </c>
      <c r="R17" s="183">
        <v>0</v>
      </c>
      <c r="S17" s="183">
        <v>37</v>
      </c>
      <c r="T17" s="183">
        <v>72</v>
      </c>
      <c r="U17" s="183">
        <v>79</v>
      </c>
      <c r="V17" s="183">
        <v>30</v>
      </c>
      <c r="W17" s="183">
        <v>14</v>
      </c>
      <c r="X17" s="189">
        <v>63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37</v>
      </c>
      <c r="AZ17" s="129">
        <f t="shared" si="14"/>
        <v>72</v>
      </c>
      <c r="BA17" s="129">
        <f t="shared" si="14"/>
        <v>79</v>
      </c>
      <c r="BB17" s="129">
        <f t="shared" si="14"/>
        <v>30</v>
      </c>
      <c r="BC17" s="125">
        <f>IF(ISNUMBER(W17),W17," - ")</f>
        <v>14</v>
      </c>
      <c r="BD17" s="126">
        <f>IF(ISNUMBER(BA17/AZ17),BA17/AZ17," - ")</f>
        <v>1.0972222222222223</v>
      </c>
      <c r="BE17" s="127">
        <f>IF(ISNUMBER(BB17/BA17),BB17/BA17, " - ")</f>
        <v>0.379746835443038</v>
      </c>
      <c r="BF17" s="127">
        <f>IF(ISNUMBER(BC17/BA17),BC17/BA17, " - ")</f>
        <v>0.17721518987341772</v>
      </c>
      <c r="BG17" s="196">
        <f>IF(ISNUMBER((AY17+AZ17)/BA17),(AY17+AZ17)/BA17," - ")</f>
        <v>1.379746835443038</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1674</v>
      </c>
      <c r="J18" s="184">
        <f t="shared" si="15"/>
        <v>689</v>
      </c>
      <c r="K18" s="184">
        <f t="shared" si="15"/>
        <v>575</v>
      </c>
      <c r="L18" s="184">
        <f t="shared" si="15"/>
        <v>1788</v>
      </c>
      <c r="M18" s="184">
        <f t="shared" si="15"/>
        <v>133</v>
      </c>
      <c r="N18" s="184">
        <f t="shared" si="15"/>
        <v>382</v>
      </c>
      <c r="O18" s="184">
        <f t="shared" si="15"/>
        <v>2</v>
      </c>
      <c r="P18" s="184">
        <f t="shared" si="15"/>
        <v>6</v>
      </c>
      <c r="Q18" s="184">
        <f t="shared" si="15"/>
        <v>5</v>
      </c>
      <c r="R18" s="184">
        <f t="shared" si="15"/>
        <v>74</v>
      </c>
      <c r="S18" s="184">
        <f t="shared" si="15"/>
        <v>1364</v>
      </c>
      <c r="T18" s="184">
        <f t="shared" si="15"/>
        <v>727</v>
      </c>
      <c r="U18" s="184">
        <f t="shared" si="15"/>
        <v>761</v>
      </c>
      <c r="V18" s="184">
        <f t="shared" si="15"/>
        <v>1330</v>
      </c>
      <c r="W18" s="184">
        <f t="shared" si="15"/>
        <v>100</v>
      </c>
      <c r="X18" s="184">
        <f t="shared" si="15"/>
        <v>579</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1364</v>
      </c>
      <c r="AZ18" s="184">
        <f>SUBTOTAL(9,AZ14:AZ17)</f>
        <v>727</v>
      </c>
      <c r="BA18" s="184">
        <f>SUBTOTAL(9,BA14:BA17)</f>
        <v>761</v>
      </c>
      <c r="BB18" s="184">
        <f>SUBTOTAL(9,BB14:BB17)</f>
        <v>1330</v>
      </c>
      <c r="BC18" s="184">
        <f>SUBTOTAL(9,BC14:BC17)</f>
        <v>100</v>
      </c>
      <c r="BD18" s="205">
        <f>IF(ISNUMBER(BA18/AZ18),BA18/AZ18," - ")</f>
        <v>1.046767537826685</v>
      </c>
      <c r="BE18" s="206">
        <f>IF(ISNUMBER(BB18/BA18),BB18/BA18, " - ")</f>
        <v>1.7477003942181339</v>
      </c>
      <c r="BF18" s="206">
        <f>IF(ISNUMBER(BC18/BA18),BC18/BA18, " - ")</f>
        <v>0.13140604467805519</v>
      </c>
      <c r="BG18" s="207">
        <f>IF(ISNUMBER((AY18+AZ18)/BA18),(AY18+AZ18)/BA18," - ")</f>
        <v>2.7477003942181342</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4102</v>
      </c>
      <c r="J19" s="134">
        <f t="shared" si="18"/>
        <v>1317</v>
      </c>
      <c r="K19" s="134">
        <f t="shared" si="18"/>
        <v>1198</v>
      </c>
      <c r="L19" s="134">
        <f t="shared" si="18"/>
        <v>4221</v>
      </c>
      <c r="M19" s="134">
        <f t="shared" si="18"/>
        <v>220</v>
      </c>
      <c r="N19" s="134">
        <f t="shared" si="18"/>
        <v>545</v>
      </c>
      <c r="O19" s="134">
        <f t="shared" si="18"/>
        <v>108</v>
      </c>
      <c r="P19" s="134">
        <f t="shared" si="18"/>
        <v>153</v>
      </c>
      <c r="Q19" s="134">
        <f t="shared" si="18"/>
        <v>86</v>
      </c>
      <c r="R19" s="134">
        <f t="shared" si="18"/>
        <v>2451</v>
      </c>
      <c r="S19" s="134">
        <f t="shared" si="18"/>
        <v>3711</v>
      </c>
      <c r="T19" s="134">
        <f t="shared" si="18"/>
        <v>1365</v>
      </c>
      <c r="U19" s="134">
        <f t="shared" si="18"/>
        <v>1494</v>
      </c>
      <c r="V19" s="134">
        <f t="shared" si="18"/>
        <v>3582</v>
      </c>
      <c r="W19" s="134">
        <f t="shared" si="18"/>
        <v>246</v>
      </c>
      <c r="X19" s="134">
        <f t="shared" si="18"/>
        <v>941</v>
      </c>
      <c r="Y19" s="134">
        <f t="shared" si="18"/>
        <v>45</v>
      </c>
      <c r="Z19" s="134">
        <f t="shared" si="18"/>
        <v>25</v>
      </c>
      <c r="AA19" s="134">
        <f t="shared" si="18"/>
        <v>20</v>
      </c>
      <c r="AB19" s="134">
        <f t="shared" si="18"/>
        <v>50</v>
      </c>
      <c r="AC19" s="134">
        <f t="shared" si="18"/>
        <v>0</v>
      </c>
      <c r="AD19" s="134">
        <f t="shared" si="18"/>
        <v>0</v>
      </c>
      <c r="AE19" s="134">
        <f t="shared" si="18"/>
        <v>0</v>
      </c>
      <c r="AF19" s="134">
        <f t="shared" si="18"/>
        <v>0</v>
      </c>
      <c r="AG19" s="134">
        <f t="shared" si="18"/>
        <v>54</v>
      </c>
      <c r="AH19" s="134">
        <f t="shared" si="18"/>
        <v>25</v>
      </c>
      <c r="AI19" s="134">
        <f t="shared" si="18"/>
        <v>26</v>
      </c>
      <c r="AJ19" s="134">
        <f t="shared" si="18"/>
        <v>53</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3765</v>
      </c>
      <c r="AZ19" s="134">
        <f>SUBTOTAL(9,AZ9:AZ18)</f>
        <v>1390</v>
      </c>
      <c r="BA19" s="134">
        <f>SUBTOTAL(9,BA9:BA18)</f>
        <v>1520</v>
      </c>
      <c r="BB19" s="134">
        <f>SUBTOTAL(9,BB9:BB18)</f>
        <v>3635</v>
      </c>
      <c r="BC19" s="135">
        <f>SUBTOTAL(9,BC9:BC18)</f>
        <v>462</v>
      </c>
      <c r="BD19" s="213">
        <f>IF(ISNUMBER(BA19/AZ19),BA19/AZ19," - ")</f>
        <v>1.0935251798561152</v>
      </c>
      <c r="BE19" s="210">
        <f>IF(ISNUMBER(BB19/BA19),BB19/BA19, " - ")</f>
        <v>2.3914473684210527</v>
      </c>
      <c r="BF19" s="210">
        <f>IF(ISNUMBER(BC19/BA19),BC19/BA19, " - ")</f>
        <v>0.30394736842105263</v>
      </c>
      <c r="BG19" s="135">
        <f>IF(ISNUMBER((AY19+AZ19)/BA19),(AY19+AZ19)/BA19," - ")</f>
        <v>3.3914473684210527</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5Z1JJcP4owlDsAceRBkujTiZw2FLtGk12LUTSECmrdNqkO56v3SxBi2J2kGK83jUU5F/um31/tj2VWk/qopcjA==" saltValue="HTb9ynwDLz2HwiVYu3Lw5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AiDf1oZtafjxNBq022KP4Yb9T15afDpjLKF3XT2MoiqThAKIOdnfK756WtT7GqmutUe1RpEVdghOUdBwxEnQ==" saltValue="o/3uxNZCGWoiQNErsiGOz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ANDALUCIA</v>
      </c>
    </row>
    <row r="2" spans="1:74" ht="16.5" customHeight="1">
      <c r="C2" s="488" t="str">
        <f>Criterios!A10 &amp;"  "&amp;Criterios!B10 &amp; "  " &amp; IF(NOT(ISBLANK(Criterios!A11)),Criterios!A11 &amp;"  "&amp;Criterios!B11,"")</f>
        <v>Provincias  HUELVA  Resumenes por Partidos Judiciales  MOGUER</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1</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25</v>
      </c>
      <c r="O12" s="334"/>
      <c r="P12" s="334"/>
      <c r="Q12" s="226">
        <f>IF(ISNUMBER(Datos!P12),Datos!P12,0)</f>
        <v>147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81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50</v>
      </c>
      <c r="AI12" s="334" t="str">
        <f>IF(ISNUMBER(Datos!CD12),Datos!CD12,"-")</f>
        <v>-</v>
      </c>
      <c r="AJ12" s="334" t="str">
        <f>IF(ISNUMBER(Datos!EN12),Datos!EN12," - ")</f>
        <v xml:space="preserve"> - </v>
      </c>
      <c r="AK12" s="334"/>
      <c r="AL12" s="479"/>
      <c r="AM12" s="335">
        <f>IF(ISNUMBER(Datos!R12),Datos!R12," - ")</f>
        <v>2377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87</v>
      </c>
      <c r="BD12" s="229">
        <f>IF(ISNUMBER(Datos!N12),Datos!N12," - ")</f>
        <v>163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0.98619631901840488</v>
      </c>
      <c r="BH12" s="260">
        <f>IF(ISNUMBER(((IF(J_V="SI",Datos!L12/Datos!K12,(Datos!L12+Datos!AB12)/(Datos!K12+Datos!AA12)))*11)/factor_trimestre),((IF(J_V="SI",Datos!L12/Datos!K12,(Datos!L12+Datos!AB12)/(Datos!K12+Datos!AA12)))*11)/factor_trimestre," - ")</f>
        <v>11.580093312597201</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2.8559065339679793E-2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25</v>
      </c>
      <c r="O13" s="900">
        <f t="shared" si="0"/>
        <v>0</v>
      </c>
      <c r="P13" s="900">
        <f t="shared" si="0"/>
        <v>0</v>
      </c>
      <c r="Q13" s="899">
        <f t="shared" si="0"/>
        <v>147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81</v>
      </c>
      <c r="AD13" s="899">
        <f t="shared" si="1"/>
        <v>0</v>
      </c>
      <c r="AE13" s="899">
        <f t="shared" si="1"/>
        <v>0</v>
      </c>
      <c r="AF13" s="899">
        <f t="shared" si="1"/>
        <v>1</v>
      </c>
      <c r="AG13" s="899">
        <f t="shared" si="1"/>
        <v>0</v>
      </c>
      <c r="AH13" s="899">
        <f t="shared" si="1"/>
        <v>50</v>
      </c>
      <c r="AI13" s="899">
        <f t="shared" si="1"/>
        <v>0</v>
      </c>
      <c r="AJ13" s="899">
        <f t="shared" si="1"/>
        <v>0</v>
      </c>
      <c r="AK13" s="899">
        <f t="shared" si="1"/>
        <v>0</v>
      </c>
      <c r="AL13" s="899">
        <f t="shared" si="1"/>
        <v>0</v>
      </c>
      <c r="AM13" s="899">
        <f t="shared" si="1"/>
        <v>2377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87</v>
      </c>
      <c r="BD13" s="899">
        <f t="shared" si="1"/>
        <v>163</v>
      </c>
      <c r="BE13" s="899">
        <f t="shared" si="1"/>
        <v>0</v>
      </c>
      <c r="BF13" s="899">
        <f t="shared" si="1"/>
        <v>0</v>
      </c>
      <c r="BG13" s="899">
        <f>IF(ISNUMBER(Datos!K13/Datos!J13),Datos!K13/Datos!J13," - ")</f>
        <v>0.9920382165605095</v>
      </c>
      <c r="BH13" s="903">
        <f>IF(ISNUMBER(((Datos!L13/Datos!K13)*11)/factor_trimestre),((Datos!L13/Datos!K13)*11)/factor_trimestre," - ")</f>
        <v>11.715890850722312</v>
      </c>
      <c r="BI13" s="899">
        <f>IF(ISNUMBER('Resol  Asuntos'!D13/NºAsuntos!G13),'Resol  Asuntos'!D13/NºAsuntos!G13," - ")</f>
        <v>0.13530326594090203</v>
      </c>
      <c r="BJ13" s="899" t="str">
        <f>IF(ISNUMBER(Datos!CI13/Datos!CJ13),Datos!CI13/Datos!CJ13," - ")</f>
        <v xml:space="preserve"> - </v>
      </c>
      <c r="BK13" s="899">
        <f>SUBTOTAL(9,BK8:BK12)</f>
        <v>0</v>
      </c>
      <c r="BL13" s="899" t="str">
        <f>IF(ISNUMBER((I13-AB13+L13)/(F13)),(I13-AB13+L13)/(F13)," - ")</f>
        <v xml:space="preserve"> - </v>
      </c>
      <c r="BM13" s="904">
        <f>SUBTOTAL(9,BM9:BM12)</f>
        <v>2.8559065339679793E-2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1579</v>
      </c>
      <c r="G16" s="598">
        <f>IF(ISNUMBER(IF(D_I="SI",Datos!I16,Datos!I16+Datos!AC16)),IF(D_I="SI",Datos!I16,Datos!I16+Datos!AC16)," - ")</f>
        <v>1579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544</v>
      </c>
      <c r="AC16" s="226">
        <f>IF(ISNUMBER(Datos!Q16),Datos!Q16," - ")</f>
        <v>5</v>
      </c>
      <c r="AD16" s="334"/>
      <c r="AE16" s="484"/>
      <c r="AF16" s="596">
        <f>IF(ISNUMBER(IF(D_I="SI",Datos!L16,Datos!L16+Datos!AF16)),IF(D_I="SI",Datos!L16,Datos!L16+Datos!AF16)," - ")</f>
        <v>1662</v>
      </c>
      <c r="AG16" s="334"/>
      <c r="AH16" s="334"/>
      <c r="AI16" s="334"/>
      <c r="AJ16" s="334"/>
      <c r="AK16" s="334"/>
      <c r="AL16" s="479"/>
      <c r="AM16" s="335">
        <f>IF(ISNUMBER(Datos!R16),Datos!R16," - ")</f>
        <v>74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126</v>
      </c>
      <c r="BD16" s="229">
        <f>IF(ISNUMBER(Datos!N16),Datos!N16," - ")</f>
        <v>357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0.86762360446570974</v>
      </c>
      <c r="BH16" s="260">
        <f>IF(ISNUMBER(((IF(D_I="SI",Datos!L16/Datos!K16,(Datos!L16+Datos!AF16)/(Datos!K16+Datos!AE16)))*11)/factor_trimestre),((IF(D_I="SI",Datos!L16/Datos!K16,(Datos!L16+Datos!AF16)/(Datos!K16+Datos!AE16)))*11)/factor_trimestre," - ")</f>
        <v>9.1654411764705888</v>
      </c>
      <c r="BI16" s="243">
        <f>IF(ISNUMBER('Resol  Asuntos'!D16/NºAsuntos!G16),'Resol  Asuntos'!D16/NºAsuntos!G16," - ")</f>
        <v>0.23161764705882354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95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31</v>
      </c>
      <c r="AC17" s="226">
        <f>IF(ISNUMBER(Datos!Q17),Datos!Q17," - ")</f>
        <v>0</v>
      </c>
      <c r="AD17" s="334"/>
      <c r="AE17" s="484"/>
      <c r="AF17" s="332">
        <f>IF(ISNUMBER(Datos!L17),Datos!L17,"-")</f>
        <v>126</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7</v>
      </c>
      <c r="BD17" s="229">
        <f>IF(ISNUMBER(Datos!N17),Datos!N17," - ")</f>
        <v>25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0.5</v>
      </c>
      <c r="BH17" s="260">
        <f>IF(ISNUMBER(((IF(D_I="SI",Datos!L17/Datos!K17,(Datos!L17+Datos!AF17)/(Datos!K17+Datos!AE17)))*11)/factor_trimestre),((IF(D_I="SI",Datos!L17/Datos!K17,(Datos!L17+Datos!AF17)/(Datos!K17+Datos!AE17)))*11)/factor_trimestre," - ")</f>
        <v>12.193548387096776</v>
      </c>
      <c r="BI17" s="243">
        <f>IF(ISNUMBER('Resol  Asuntos'!D17/NºAsuntos!G17),'Resol  Asuntos'!D17/NºAsuntos!G17," - ")</f>
        <v>0.22580645161290322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1579</v>
      </c>
      <c r="G18" s="898">
        <f>SUBTOTAL(9,G15:G17)</f>
        <v>1674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575</v>
      </c>
      <c r="AC18" s="899">
        <f t="shared" si="4"/>
        <v>5</v>
      </c>
      <c r="AD18" s="899">
        <f t="shared" si="4"/>
        <v>0</v>
      </c>
      <c r="AE18" s="899">
        <f t="shared" si="4"/>
        <v>0</v>
      </c>
      <c r="AF18" s="899">
        <f t="shared" si="4"/>
        <v>1788</v>
      </c>
      <c r="AG18" s="899">
        <f t="shared" si="4"/>
        <v>0</v>
      </c>
      <c r="AH18" s="899">
        <f t="shared" si="4"/>
        <v>0</v>
      </c>
      <c r="AI18" s="899">
        <f t="shared" si="4"/>
        <v>0</v>
      </c>
      <c r="AJ18" s="899">
        <f t="shared" si="4"/>
        <v>0</v>
      </c>
      <c r="AK18" s="899">
        <f t="shared" si="4"/>
        <v>0</v>
      </c>
      <c r="AL18" s="899">
        <f t="shared" si="4"/>
        <v>0</v>
      </c>
      <c r="AM18" s="899">
        <f t="shared" si="4"/>
        <v>74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133</v>
      </c>
      <c r="BD18" s="899">
        <f t="shared" si="4"/>
        <v>382</v>
      </c>
      <c r="BE18" s="899">
        <f t="shared" si="4"/>
        <v>0</v>
      </c>
      <c r="BF18" s="899">
        <f t="shared" si="4"/>
        <v>0</v>
      </c>
      <c r="BG18" s="899">
        <f>IF(ISNUMBER(Datos!K18/Datos!J18),Datos!K18/Datos!J18," - ")</f>
        <v>0.83454281567489119</v>
      </c>
      <c r="BH18" s="903">
        <f>IF(ISNUMBER(((Datos!L18/Datos!K18)*11)/factor_trimestre),((Datos!L18/Datos!K18)*11)/factor_trimestre," - ")</f>
        <v>9.3286956521739146</v>
      </c>
      <c r="BI18" s="899">
        <f>SUBTOTAL(9,BI15:BI17)</f>
        <v>0.45742409867172673</v>
      </c>
      <c r="BJ18" s="899">
        <f>SUBTOTAL(9,BJ15:BJ17)</f>
        <v>0</v>
      </c>
      <c r="BK18" s="899">
        <f>SUBTOTAL(9,BK15:BK17)</f>
        <v>0</v>
      </c>
      <c r="BL18" s="899">
        <f>IF(ISNUMBER((I18-AB18+L18)/(F18)),(I18-AB18+L18)/(F18)," - ")</f>
        <v>-0.36415452818239391</v>
      </c>
      <c r="BM18" s="905">
        <f>IF(ISNUMBER((Datos!P18-Datos!Q18)/(Datos!R18-Datos!P18+Datos!Q18)),(Datos!P18-Datos!Q18)/(Datos!R18-Datos!P18+Datos!Q18)," - ")</f>
        <v>1.3698630136986301E-2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1579</v>
      </c>
      <c r="G19" s="820">
        <f t="shared" si="6"/>
        <v>1674</v>
      </c>
      <c r="H19" s="822">
        <f t="shared" si="6"/>
        <v>0</v>
      </c>
      <c r="I19" s="820">
        <f t="shared" si="6"/>
        <v>0</v>
      </c>
      <c r="J19" s="822">
        <f t="shared" si="6"/>
        <v>0</v>
      </c>
      <c r="K19" s="822">
        <f t="shared" si="6"/>
        <v>0</v>
      </c>
      <c r="L19" s="881">
        <f t="shared" si="6"/>
        <v>0</v>
      </c>
      <c r="M19" s="881">
        <f t="shared" si="6"/>
        <v>0</v>
      </c>
      <c r="N19" s="881">
        <f t="shared" si="6"/>
        <v>25</v>
      </c>
      <c r="O19" s="881">
        <f t="shared" si="6"/>
        <v>0</v>
      </c>
      <c r="P19" s="881">
        <f t="shared" si="6"/>
        <v>0</v>
      </c>
      <c r="Q19" s="822">
        <f t="shared" si="6"/>
        <v>153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575</v>
      </c>
      <c r="AC19" s="821">
        <f t="shared" si="7"/>
        <v>86</v>
      </c>
      <c r="AD19" s="821">
        <f t="shared" si="7"/>
        <v>0</v>
      </c>
      <c r="AE19" s="821">
        <f t="shared" si="7"/>
        <v>0</v>
      </c>
      <c r="AF19" s="828">
        <f t="shared" si="7"/>
        <v>1789</v>
      </c>
      <c r="AG19" s="828">
        <f t="shared" si="7"/>
        <v>0</v>
      </c>
      <c r="AH19" s="828">
        <f t="shared" si="7"/>
        <v>50</v>
      </c>
      <c r="AI19" s="828">
        <f t="shared" si="7"/>
        <v>0</v>
      </c>
      <c r="AJ19" s="821">
        <f t="shared" si="7"/>
        <v>0</v>
      </c>
      <c r="AK19" s="828">
        <f t="shared" si="7"/>
        <v>0</v>
      </c>
      <c r="AL19" s="828">
        <f t="shared" si="7"/>
        <v>0</v>
      </c>
      <c r="AM19" s="828">
        <f t="shared" si="7"/>
        <v>2451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220</v>
      </c>
      <c r="BD19" s="820">
        <f t="shared" si="7"/>
        <v>545</v>
      </c>
      <c r="BE19" s="820">
        <f t="shared" si="7"/>
        <v>0</v>
      </c>
      <c r="BF19" s="830">
        <f t="shared" si="7"/>
        <v>0</v>
      </c>
      <c r="BG19" s="915">
        <f>IF(ISNUMBER(Datos!K19/Datos!J19),Datos!K19/Datos!J19," - ")</f>
        <v>0.90964312832194383</v>
      </c>
      <c r="BH19" s="915">
        <f>IF(ISNUMBER(((Datos!L19/Datos!K19)*11)/factor_trimestre),((Datos!L19/Datos!K19)*11)/factor_trimestre," - ")</f>
        <v>10.570116861435727</v>
      </c>
      <c r="BI19" s="813">
        <f>IF(ISNUMBER(Datos!J19/Datos!I19),Datos!J19/Datos!I19," - ")</f>
        <v>0.32106289614822037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-0.36415452818239391</v>
      </c>
      <c r="BM19" s="889">
        <f>IF(ISNUMBER((Datos!P19-Datos!Q19+R19)/(Datos!R19-Datos!P19+Datos!Q19-R19)),(Datos!P19-Datos!Q19+R19)/(Datos!R19-Datos!P19+Datos!Q19-R19)," - ")</f>
        <v>2.8104026845637585E-2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669.6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911.63607505041909</v>
      </c>
      <c r="G21" s="552">
        <f>IF(ISNUMBER(STDEV(G8:G18)),STDEV(G8:G18),"-")</f>
        <v>875.03159942941488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301.25653519882354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57.420089399674978</v>
      </c>
      <c r="BD21" s="551"/>
      <c r="BE21" s="551">
        <f>IF(ISNUMBER(STDEV(BE8:BE18)),STDEV(BE8:BE18),"-")</f>
        <v>0</v>
      </c>
      <c r="BF21" s="556">
        <f>IF(ISNUMBER(STDEV(BF8:BF18)),STDEV(BF8:BF18),"-")</f>
        <v>0</v>
      </c>
      <c r="BG21" s="775">
        <f>IF(ISNUMBER(STDEV(BG8:BG18)),STDEV(BG8:BG18),"-")</f>
        <v>0.38557232124532659</v>
      </c>
      <c r="BH21" s="776">
        <f>IF(ISNUMBER(STDEV(BH8:BH18)),STDEV(BH8:BH18),"-")</f>
        <v>1.4340366476880448</v>
      </c>
      <c r="BI21" s="249">
        <f>IF(ISNUMBER(STDEV(BI8:BI18)),STDEV(BI8:BI18),"-")</f>
        <v>0.13720367327374294</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Dr8Y+q313PEslD3sPGFU/khiMGneOfATJFOVwMrmdJGS58F8ABtSbCHvZ4mJUYWbCRCI85EpgmPA8zllCoWBBQ==" saltValue="i9CncT0J2Pr3a1WHd9WEh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ANDALUCIA</v>
      </c>
    </row>
    <row r="2" spans="1:73" ht="16.5" customHeight="1">
      <c r="C2" s="528" t="str">
        <f>Criterios!A10 &amp;"  "&amp;Criterios!B10 &amp; "  " &amp; IF(NOT(ISBLANK(Criterios!A11)),Criterios!A11 &amp;"  "&amp;Criterios!B11,"")</f>
        <v>Provincias  HUELVA  Resumenes por Partidos Judiciales  MOGUER</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1</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147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81</v>
      </c>
      <c r="AA12" s="332" t="str">
        <f>IF(ISNUMBER(IF(J_V="SI",Datos!L12,Datos!L12+Datos!AB12)-IF(Monitorios="SI",Datos!CD12,0)),
                          IF(J_V="SI",Datos!L12,Datos!L12+Datos!AB12)-IF(Monitorios="SI",Datos!CD12,0),
                          " - ")</f>
        <v xml:space="preserve"> - </v>
      </c>
      <c r="AB12" s="334"/>
      <c r="AC12" s="334"/>
      <c r="AD12" s="484"/>
      <c r="AE12" s="484">
        <f>IF(ISNUMBER(Datos!R12),Datos!R12," - ")</f>
        <v>2377</v>
      </c>
      <c r="AF12" s="229" t="str">
        <f>IF(ISNUMBER(Datos!BV12),Datos!BV12," - ")</f>
        <v xml:space="preserve"> - </v>
      </c>
      <c r="AG12" s="225" t="str">
        <f>IF(ISNUMBER(Datos!DV12),Datos!DV12," - ")</f>
        <v xml:space="preserve"> - </v>
      </c>
      <c r="AH12" s="298"/>
      <c r="AI12" s="227"/>
      <c r="AJ12" s="225">
        <f>IF(ISNUMBER(Datos!M12),Datos!M12," - ")</f>
        <v>87</v>
      </c>
      <c r="AK12" s="229">
        <f>IF(ISNUMBER(Datos!N12),Datos!N12," - ")</f>
        <v>163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11.580093312597201</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2.8559065339679793E-2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147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81</v>
      </c>
      <c r="AA13" s="900">
        <f t="shared" si="2"/>
        <v>1</v>
      </c>
      <c r="AB13" s="900">
        <f t="shared" si="2"/>
        <v>0</v>
      </c>
      <c r="AC13" s="900">
        <f t="shared" si="2"/>
        <v>0</v>
      </c>
      <c r="AD13" s="900">
        <f t="shared" si="2"/>
        <v>0</v>
      </c>
      <c r="AE13" s="900">
        <f t="shared" si="2"/>
        <v>2377</v>
      </c>
      <c r="AF13" s="908">
        <f t="shared" si="2"/>
        <v>0</v>
      </c>
      <c r="AG13" s="908">
        <f t="shared" si="2"/>
        <v>0</v>
      </c>
      <c r="AH13" s="908">
        <f t="shared" si="2"/>
        <v>0</v>
      </c>
      <c r="AI13" s="908">
        <f t="shared" si="2"/>
        <v>0</v>
      </c>
      <c r="AJ13" s="908">
        <f t="shared" si="2"/>
        <v>87</v>
      </c>
      <c r="AK13" s="908">
        <f t="shared" si="2"/>
        <v>163</v>
      </c>
      <c r="AL13" s="908">
        <f t="shared" si="2"/>
        <v>0</v>
      </c>
      <c r="AM13" s="908">
        <f t="shared" si="2"/>
        <v>0</v>
      </c>
      <c r="AN13" s="908">
        <f t="shared" si="2"/>
        <v>0</v>
      </c>
      <c r="AO13" s="904">
        <f>IF(ISNUMBER(((NºAsuntos!I13/NºAsuntos!G13)*11)/factor_trimestre),((NºAsuntos!I13/NºAsuntos!G13)*11)/factor_trimestre," - ")</f>
        <v>11.584758942457233</v>
      </c>
      <c r="AP13" s="910" t="str">
        <f>IF(ISNUMBER(Datos!CI13/Datos!CJ13),Datos!CI13/Datos!CJ13," - ")</f>
        <v xml:space="preserve"> - </v>
      </c>
      <c r="AQ13" s="928">
        <f t="shared" ref="AQ13:AV13" si="3">SUBTOTAL(9,AQ9:AQ12)</f>
        <v>0</v>
      </c>
      <c r="AR13" s="928">
        <f t="shared" si="3"/>
        <v>2.8559065339679793E-2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1579</v>
      </c>
      <c r="G16" s="225">
        <f>IF(ISNUMBER(IF(D_I="SI",Datos!I16,Datos!I16+Datos!AC16)),IF(D_I="SI",Datos!I16,Datos!I16+Datos!AC16)," - ")</f>
        <v>1579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544</v>
      </c>
      <c r="Z16" s="619">
        <f>IF(ISNUMBER(Datos!Q16),Datos!Q16," - ")</f>
        <v>5</v>
      </c>
      <c r="AA16" s="332">
        <f>IF(ISNUMBER(IF(D_I="SI",Datos!L16,Datos!L16+Datos!AF16)),IF(D_I="SI",Datos!L16,Datos!L16+Datos!AF16)," - ")</f>
        <v>1662</v>
      </c>
      <c r="AB16" s="334"/>
      <c r="AC16" s="334"/>
      <c r="AD16" s="484"/>
      <c r="AE16" s="484">
        <f>IF(ISNUMBER(Datos!R16),Datos!R16," - ")</f>
        <v>74</v>
      </c>
      <c r="AF16" s="229" t="str">
        <f>IF(ISNUMBER(Datos!BV16),Datos!BV16," - ")</f>
        <v xml:space="preserve"> - </v>
      </c>
      <c r="AG16" s="225"/>
      <c r="AH16" s="298"/>
      <c r="AI16" s="227"/>
      <c r="AJ16" s="225">
        <f>IF(ISNUMBER(Datos!M16),Datos!M16," - ")</f>
        <v>126</v>
      </c>
      <c r="AK16" s="229">
        <f>IF(ISNUMBER(Datos!N16),Datos!N16," - ")</f>
        <v>357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9.1654411764705888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95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31</v>
      </c>
      <c r="Z17" s="619">
        <f>IF(ISNUMBER(Datos!Q17),Datos!Q17," - ")</f>
        <v>0</v>
      </c>
      <c r="AA17" s="332">
        <f>IF(ISNUMBER(Datos!L17),Datos!L17,"-")</f>
        <v>126</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7</v>
      </c>
      <c r="AK17" s="229">
        <f>IF(ISNUMBER(Datos!N17),Datos!N17," - ")</f>
        <v>25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12.193548387096776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1579</v>
      </c>
      <c r="G18" s="898">
        <f>SUBTOTAL(9,G15:G17)</f>
        <v>1674</v>
      </c>
      <c r="H18" s="932">
        <f>SUBTOTAL(9,H15:H17)</f>
        <v>0</v>
      </c>
      <c r="I18" s="911">
        <f>SUBTOTAL(9,I15:I17)</f>
        <v>0</v>
      </c>
      <c r="J18" s="867">
        <f>SUBTOTAL(9,J14:J17)</f>
        <v>0</v>
      </c>
      <c r="K18" s="932">
        <f t="shared" ref="K18:S18" si="4">SUBTOTAL(9,K15:K17)</f>
        <v>0</v>
      </c>
      <c r="L18" s="932">
        <f t="shared" si="4"/>
        <v>0</v>
      </c>
      <c r="M18" s="932">
        <f t="shared" si="4"/>
        <v>0</v>
      </c>
      <c r="N18" s="932">
        <f t="shared" si="4"/>
        <v>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575</v>
      </c>
      <c r="Z18" s="932">
        <f t="shared" si="5"/>
        <v>5</v>
      </c>
      <c r="AA18" s="932">
        <f t="shared" si="5"/>
        <v>1788</v>
      </c>
      <c r="AB18" s="932">
        <f t="shared" si="5"/>
        <v>0</v>
      </c>
      <c r="AC18" s="932">
        <f t="shared" si="5"/>
        <v>0</v>
      </c>
      <c r="AD18" s="932">
        <f t="shared" si="5"/>
        <v>0</v>
      </c>
      <c r="AE18" s="932">
        <f t="shared" si="5"/>
        <v>74</v>
      </c>
      <c r="AF18" s="932">
        <f t="shared" si="5"/>
        <v>0</v>
      </c>
      <c r="AG18" s="932">
        <f t="shared" si="5"/>
        <v>0</v>
      </c>
      <c r="AH18" s="932">
        <f t="shared" si="5"/>
        <v>0</v>
      </c>
      <c r="AI18" s="932">
        <f t="shared" si="5"/>
        <v>0</v>
      </c>
      <c r="AJ18" s="932">
        <f t="shared" si="5"/>
        <v>133</v>
      </c>
      <c r="AK18" s="932">
        <f t="shared" si="5"/>
        <v>382</v>
      </c>
      <c r="AL18" s="932">
        <f t="shared" si="5"/>
        <v>0</v>
      </c>
      <c r="AM18" s="932">
        <f t="shared" si="5"/>
        <v>0</v>
      </c>
      <c r="AN18" s="932">
        <f t="shared" si="5"/>
        <v>0</v>
      </c>
      <c r="AO18" s="934">
        <f>IF(ISNUMBER(((NºAsuntos!I18/NºAsuntos!G18)*11)/factor_trimestre),((NºAsuntos!I18/NºAsuntos!G18)*11)/factor_trimestre," - ")</f>
        <v>9.3286956521739146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1579</v>
      </c>
      <c r="G19" s="820">
        <f t="shared" si="7"/>
        <v>1674</v>
      </c>
      <c r="H19" s="821">
        <f t="shared" si="7"/>
        <v>0</v>
      </c>
      <c r="I19" s="820">
        <f t="shared" si="7"/>
        <v>0</v>
      </c>
      <c r="J19" s="822">
        <f t="shared" si="7"/>
        <v>0</v>
      </c>
      <c r="K19" s="820">
        <f t="shared" si="7"/>
        <v>0</v>
      </c>
      <c r="L19" s="823">
        <f t="shared" si="7"/>
        <v>0</v>
      </c>
      <c r="M19" s="820">
        <f t="shared" si="7"/>
        <v>0</v>
      </c>
      <c r="N19" s="821">
        <f t="shared" si="7"/>
        <v>153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575</v>
      </c>
      <c r="Z19" s="827">
        <f t="shared" si="8"/>
        <v>86</v>
      </c>
      <c r="AA19" s="828">
        <f t="shared" si="8"/>
        <v>1789</v>
      </c>
      <c r="AB19" s="828">
        <f t="shared" si="8"/>
        <v>0</v>
      </c>
      <c r="AC19" s="828">
        <f t="shared" si="8"/>
        <v>0</v>
      </c>
      <c r="AD19" s="829">
        <f t="shared" si="8"/>
        <v>0</v>
      </c>
      <c r="AE19" s="829">
        <f t="shared" si="8"/>
        <v>2451</v>
      </c>
      <c r="AF19" s="830">
        <f t="shared" si="8"/>
        <v>0</v>
      </c>
      <c r="AG19" s="831">
        <f t="shared" si="8"/>
        <v>0</v>
      </c>
      <c r="AH19" s="832">
        <f t="shared" si="8"/>
        <v>0</v>
      </c>
      <c r="AI19" s="830">
        <f t="shared" si="8"/>
        <v>0</v>
      </c>
      <c r="AJ19" s="820">
        <f t="shared" si="8"/>
        <v>220</v>
      </c>
      <c r="AK19" s="820">
        <f t="shared" si="8"/>
        <v>545</v>
      </c>
      <c r="AL19" s="820">
        <f t="shared" si="8"/>
        <v>0</v>
      </c>
      <c r="AM19" s="833">
        <f t="shared" si="8"/>
        <v>0</v>
      </c>
      <c r="AN19" s="823">
        <f>IF(ISNUMBER(Datos!K19/Datos!J19),Datos!K19/Datos!J19," - ")</f>
        <v>0.90964312832194383</v>
      </c>
      <c r="AO19" s="823">
        <f>IF(ISNUMBER(FIND("06",Criterios!A8,1)),(IF(ISNUMBER(((Datos!R19/Datos!Q19)*11)/factor_trimestre),((Datos!R19/Datos!Q19)*11)/factor_trimestre," - ")),(IF(ISNUMBER(((Datos!L19/Datos!K19)*11)/factor_trimestre),((Datos!L19/Datos!K19)*11)/factor_trimestre," - ")))</f>
        <v>10.570116861435727</v>
      </c>
      <c r="AP19" s="834" t="str">
        <f>IF(ISNUMBER(Datos!CI19/Datos!CJ19),Datos!CI19/Datos!CJ19," - ")</f>
        <v xml:space="preserve"> - </v>
      </c>
      <c r="AQ19" s="834">
        <f>IF(OR(ISNUMBER(FIND("01",Criterios!A8,1)),ISNUMBER(FIND("02",Criterios!A8,1)),ISNUMBER(FIND("03",Criterios!A8,1)),ISNUMBER(FIND("04",Criterios!A8,1))),(J19-Y19+K19)/(F19-K19),(I19-Y19+K19)/(F19-K19))</f>
        <v>-0.36415452818239391</v>
      </c>
      <c r="AR19" s="834">
        <f>IF(ISNUMBER((Datos!P19-Datos!Q19+O19)/(Datos!R19-Datos!P19+Datos!Q19-O19)),(Datos!P19-Datos!Q19+O19)/(Datos!R19-Datos!P19+Datos!Q19-O19)," - ")</f>
        <v>2.8104026845637585E-2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669.6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911.63607505041909</v>
      </c>
      <c r="G21" s="552">
        <f>IF(ISNUMBER(STDEV(G8:G18)),STDEV(G8:G18),"-")</f>
        <v>875.03159942941488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57.420089399674978</v>
      </c>
      <c r="AK21" s="252"/>
      <c r="AL21" s="252">
        <f>IF(ISNUMBER(STDEV(AL8:AL18)),STDEV(AL8:AL18),"-")</f>
        <v>0</v>
      </c>
      <c r="AM21" s="254">
        <f>IF(ISNUMBER(STDEV(AM8:AM18)),STDEV(AM8:AM18),"-")</f>
        <v>0</v>
      </c>
      <c r="AN21" s="539">
        <f>IF(ISNUMBER(STDEV(AN8:AN18)),STDEV(AN8:AN18),"-")</f>
        <v>0</v>
      </c>
      <c r="AO21" s="540">
        <f>IF(ISNUMBER(STDEV(AO8:AO18)),STDEV(AO8:AO18),"-")</f>
        <v>1.4140844452605639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pGvPrUuH2V41JRComJdDZcb13YPL+RRbkXp96rti/MndCVoO7uDIcR1FcIEeSBzBS/Xh5XLQlHmfe6wCltTStg==" saltValue="xEpuVVzv4eRdx9fYWN1RY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pZcGjSdcSgHy4rtWgyGqfpFA5ZZqZNUz+JAUFrxu89hL0q4XPoroadD+Hs187aDK6Ogq1YGFZvvwrVmsfxNdKQ==" saltValue="Q/b9VM9VN/1rQDeL2azEY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LJP1vQmKh5Cl7tCyz0YkJ8KTnyterijBRi9Lb/8OdXwXQkpUnf3ZxYHYaO1EXp28BGboeeCgWGrpqD0e57uDg==" saltValue="v/k1NosX0rAY7OnsSQMP7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ANDALUCIA</v>
      </c>
    </row>
    <row r="2" spans="1:75" ht="16.5" customHeight="1">
      <c r="C2" s="488" t="str">
        <f>Criterios!A10 &amp;"  "&amp;Criterios!B10 &amp; "  " &amp; IF(NOT(ISBLANK(Criterios!A11)),Criterios!A11 &amp;"  "&amp;Criterios!B11,"")</f>
        <v>Provincias  HUELVA  Resumenes por Partidos Judiciales  MOGUER</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0.13530326594090203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9.5673856863498649E-2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y+ppj33dTPnFiswQCI6nrjzfvR5pISBb7YHkbPSd+LH5SaLfLI6q6EFVn0dEieCFNeiMiFFJMzos1Ajh721qgQ==" saltValue="ZTDdnMrRQIQa7ywsrVFef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qz7bqe4oteESmOu/Qac8307yoHw2o2kKOvTG1Dsd4gb1Q2+K+DScZiVBVMmTkxZ7cUdcCGyoZ8jSX9Es6wEAQw==" saltValue="Or2ExXVOskFnVGbf1s3yd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ANDALUCIA</v>
      </c>
      <c r="C2" s="375"/>
      <c r="D2" s="375"/>
      <c r="E2" s="375"/>
      <c r="F2" s="375"/>
    </row>
    <row r="3" spans="1:14" ht="19.5">
      <c r="A3" s="390" t="s">
        <v>115</v>
      </c>
      <c r="B3" s="391" t="str">
        <f>Criterios!A10 &amp;"  "&amp;Criterios!B10</f>
        <v>Provincias  HUELVA</v>
      </c>
      <c r="D3" s="375"/>
      <c r="E3" s="375"/>
      <c r="F3" s="375"/>
    </row>
    <row r="4" spans="1:14" ht="13.5" thickBot="1">
      <c r="A4" s="375"/>
      <c r="B4" s="391" t="str">
        <f>Criterios!A11 &amp;"  "&amp;Criterios!B11</f>
        <v>Resumenes por Partidos Judiciales  MOGUER</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0</v>
      </c>
      <c r="D10" s="404">
        <f>IF(ISNUMBER(C10/Datos!BH10),C10/Datos!BH10," - ")</f>
        <v>0</v>
      </c>
      <c r="E10" s="403">
        <f>IF(ISNUMBER(Datos!J10),Datos!J10," - ")</f>
        <v>1</v>
      </c>
      <c r="F10" s="404">
        <f>IF(ISNUMBER(E10/B10),E10/B10," - ")</f>
        <v>1</v>
      </c>
      <c r="G10" s="403">
        <f>IF(ISNUMBER(Datos!K10),Datos!K10," - ")</f>
        <v>0</v>
      </c>
      <c r="H10" s="404">
        <f>IF(ISNUMBER(G10/B10),G10/B10," - ")</f>
        <v>0</v>
      </c>
      <c r="I10" s="403">
        <f>IF(ISNUMBER(Datos!L10),Datos!L10," - ")</f>
        <v>1</v>
      </c>
      <c r="J10" s="404">
        <f>IF(ISNUMBER(I10/B10),I10/B10," - ")</f>
        <v>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2473</v>
      </c>
      <c r="D12" s="404">
        <f>IF(ISNUMBER(C12/Datos!BH12),C12/Datos!BH12," - ")</f>
        <v>1236.5</v>
      </c>
      <c r="E12" s="403">
        <f>IF(ISNUMBER(IF(J_V="SI",Datos!J12,Datos!J12+Datos!Z12)),IF(J_V="SI",Datos!J12,Datos!J12+Datos!Z12)," - ")</f>
        <v>652</v>
      </c>
      <c r="F12" s="404">
        <f>IF(ISNUMBER(E12/B12),E12/B12," - ")</f>
        <v>326</v>
      </c>
      <c r="G12" s="403">
        <f>IF(ISNUMBER(IF(J_V="SI",Datos!K12,Datos!K12+Datos!AA12)),IF(J_V="SI",Datos!K12,Datos!K12+Datos!AA12)," - ")</f>
        <v>643</v>
      </c>
      <c r="H12" s="404">
        <f>IF(ISNUMBER(G12/B12),G12/B12," - ")</f>
        <v>321.5</v>
      </c>
      <c r="I12" s="403">
        <f>IF(ISNUMBER(IF(J_V="SI",Datos!L12,Datos!L12+Datos!AB12)),IF(J_V="SI",Datos!L12,Datos!L12+Datos!AB12)," - ")</f>
        <v>2482</v>
      </c>
      <c r="J12" s="404">
        <f>IF(ISNUMBER(I12/B12),I12/B12," - ")</f>
        <v>1241</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2473</v>
      </c>
      <c r="D13" s="850" t="str">
        <f>IF(ISNUMBER(C13/Datos!BI13),C13/Datos!BI13," - ")</f>
        <v xml:space="preserve"> - </v>
      </c>
      <c r="E13" s="849">
        <f>SUBTOTAL(9,E8:E12)</f>
        <v>653</v>
      </c>
      <c r="F13" s="850">
        <f>IF(ISNUMBER(E13/B13),E13/B13," - ")</f>
        <v>326.5</v>
      </c>
      <c r="G13" s="849">
        <f>SUBTOTAL(9,G8:G12)</f>
        <v>643</v>
      </c>
      <c r="H13" s="850">
        <f>IF(ISNUMBER(G13/B13),G13/B13," - ")</f>
        <v>321.5</v>
      </c>
      <c r="I13" s="849">
        <f>SUBTOTAL(9,I8:I12)</f>
        <v>2483</v>
      </c>
      <c r="J13" s="850">
        <f>IF(ISNUMBER(I13/B13),I13/B13," - ")</f>
        <v>1241.5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1579</v>
      </c>
      <c r="D16" s="404">
        <f>IF(ISNUMBER(C16/Datos!BH16),C16/Datos!BH16," - ")</f>
        <v>789.5</v>
      </c>
      <c r="E16" s="403">
        <f>IF(ISNUMBER(IF(D_I="SI",Datos!J16,Datos!J16+Datos!AD16)),IF(D_I="SI",Datos!J16,Datos!J16+Datos!AD16)," - ")</f>
        <v>627</v>
      </c>
      <c r="F16" s="404">
        <f>IF(ISNUMBER(E16/B16),E16/B16," - ")</f>
        <v>313.5</v>
      </c>
      <c r="G16" s="403">
        <f>IF(ISNUMBER(IF(D_I="SI",Datos!K16,Datos!K16+Datos!AE16)),IF(D_I="SI",Datos!K16,Datos!K16+Datos!AE16)," - ")</f>
        <v>544</v>
      </c>
      <c r="H16" s="404">
        <f>IF(ISNUMBER(G16/B16),G16/B16," - ")</f>
        <v>272</v>
      </c>
      <c r="I16" s="403">
        <f>IF(ISNUMBER(IF(D_I="SI",Datos!L16,Datos!L16+Datos!AF16)),IF(D_I="SI",Datos!L16,Datos!L16+Datos!AF16)," - ")</f>
        <v>1662</v>
      </c>
      <c r="J16" s="404">
        <f>IF(ISNUMBER(I16/B16),I16/B16," - ")</f>
        <v>831</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95</v>
      </c>
      <c r="D17" s="404">
        <f>IF(ISNUMBER(C17/Datos!BH17),C17/Datos!BH17," - ")</f>
        <v>95</v>
      </c>
      <c r="E17" s="403">
        <f>IF(ISNUMBER(IF(D_I="SI",Datos!J17,Datos!J17+Datos!AD17)),IF(D_I="SI",Datos!J17,Datos!J17+Datos!AD17)," - ")</f>
        <v>62</v>
      </c>
      <c r="F17" s="404">
        <f>IF(ISNUMBER(E17/B17),E17/B17," - ")</f>
        <v>62</v>
      </c>
      <c r="G17" s="403">
        <f>IF(ISNUMBER(IF(D_I="SI",Datos!K17,Datos!K17+Datos!AE17)),IF(D_I="SI",Datos!K17,Datos!K17+Datos!AE17)," - ")</f>
        <v>31</v>
      </c>
      <c r="H17" s="404">
        <f>IF(ISNUMBER(G17/B17),G17/B17," - ")</f>
        <v>31</v>
      </c>
      <c r="I17" s="403">
        <f>IF(ISNUMBER(IF(D_I="SI",Datos!L17,Datos!L17+Datos!AF17)),IF(D_I="SI",Datos!L17,Datos!L17+Datos!AF17)," - ")</f>
        <v>126</v>
      </c>
      <c r="J17" s="404">
        <f>IF(ISNUMBER(I17/B17),I17/B17," - ")</f>
        <v>126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1674</v>
      </c>
      <c r="D18" s="850" t="str">
        <f>IF(ISNUMBER(C18/Datos!BI18),C18/Datos!BI18," - ")</f>
        <v xml:space="preserve"> - </v>
      </c>
      <c r="E18" s="849">
        <f>SUBTOTAL(9,E14:E17)</f>
        <v>689</v>
      </c>
      <c r="F18" s="850">
        <f>IF(ISNUMBER(E18/B18),E18/B18," - ")</f>
        <v>344.5</v>
      </c>
      <c r="G18" s="849">
        <f>SUBTOTAL(9,G14:G17)</f>
        <v>575</v>
      </c>
      <c r="H18" s="850">
        <f>IF(ISNUMBER(G18/B18),G18/B18," - ")</f>
        <v>287.5</v>
      </c>
      <c r="I18" s="849">
        <f>SUBTOTAL(9,I14:I17)</f>
        <v>1788</v>
      </c>
      <c r="J18" s="850">
        <f>IF(ISNUMBER(I18/B18),I18/B18," - ")</f>
        <v>894</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4147</v>
      </c>
      <c r="D19" s="795" t="str">
        <f>IF(ISNUMBER(C19/Datos!BI19),C19/Datos!BI19," - ")</f>
        <v xml:space="preserve"> - </v>
      </c>
      <c r="E19" s="794">
        <f>SUBTOTAL(9,E9:E18)</f>
        <v>1342</v>
      </c>
      <c r="F19" s="795">
        <f>IF(ISNUMBER(E19/B19),E19/B19," - ")</f>
        <v>671</v>
      </c>
      <c r="G19" s="794">
        <f>SUBTOTAL(9,G9:G18)</f>
        <v>1218</v>
      </c>
      <c r="H19" s="795">
        <f>IF(ISNUMBER(G19/B19),G19/B19," - ")</f>
        <v>609</v>
      </c>
      <c r="I19" s="794">
        <f>SUBTOTAL(9,I9:I18)</f>
        <v>4271</v>
      </c>
      <c r="J19" s="795">
        <f>IF(ISNUMBER(I19/B19),I19/B19," - ")</f>
        <v>2135.5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1bQ+Oi1MMco+2svZoSK5vaUPvtYQHDkuYuqrrmS6sVGlC9zWvECP6CGHLXQXPjEPJ2Ock2rUJJhoK55IZEaM+Q==" saltValue="0QdTSsInA5IRZz06YdIsl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ANDALUCIA</v>
      </c>
      <c r="W1"/>
      <c r="X1"/>
    </row>
    <row r="2" spans="1:65" ht="16.5" customHeight="1">
      <c r="C2" s="488" t="str">
        <f>Criterios!A10 &amp;"  "&amp;Criterios!B10 &amp; "  " &amp; IF(NOT(ISBLANK(Criterios!A11)),Criterios!A11 &amp;"  "&amp;Criterios!B11,"")</f>
        <v>Provincias  HUELVA  Resumenes por Partidos Judiciales  MOGUER</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147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81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2377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87</v>
      </c>
      <c r="AM12" s="690">
        <f>IF(ISNUMBER(Datos!N12+DatosP!N16),Datos!N12+DatosP!N16," - ")</f>
        <v>163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11.580093312597201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2.8559065339679793E-2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147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81</v>
      </c>
      <c r="AE13" s="939">
        <f t="shared" si="1"/>
        <v>0</v>
      </c>
      <c r="AF13" s="939">
        <f t="shared" si="1"/>
        <v>1</v>
      </c>
      <c r="AG13" s="939">
        <f t="shared" si="1"/>
        <v>0</v>
      </c>
      <c r="AH13" s="939">
        <f t="shared" si="1"/>
        <v>2377</v>
      </c>
      <c r="AI13" s="939">
        <f t="shared" si="1"/>
        <v>0</v>
      </c>
      <c r="AJ13" s="939">
        <f t="shared" si="1"/>
        <v>0</v>
      </c>
      <c r="AK13" s="939">
        <f t="shared" si="1"/>
        <v>0</v>
      </c>
      <c r="AL13" s="939">
        <f t="shared" si="1"/>
        <v>87</v>
      </c>
      <c r="AM13" s="939">
        <f t="shared" si="1"/>
        <v>163</v>
      </c>
      <c r="AN13" s="939">
        <f t="shared" si="1"/>
        <v>0</v>
      </c>
      <c r="AO13" s="939">
        <f t="shared" si="1"/>
        <v>0</v>
      </c>
      <c r="AP13" s="944">
        <f>IF(ISNUMBER(((Datos!L13/Datos!K13)*11)/factor_trimestre),((Datos!L13/Datos!K13)*11)/factor_trimestre," - ")</f>
        <v>11.715890850722312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2.8559065339679793E-2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9.3286956521739146</v>
      </c>
      <c r="AQ18" s="944">
        <f>IF(ISNUMBER(((Datos!M18/Datos!L18)*11)/factor_trimestre),((Datos!M18/Datos!L18)*11)/factor_trimestre," - ")</f>
        <v>0.22315436241610739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1.3698630136986301E-2</v>
      </c>
      <c r="AW18" s="946">
        <f>IF(ISNUMBER((Datos!Q18-Datos!R18)/(Datos!S18-Datos!Q18+Datos!R18)),(Datos!Q18-Datos!R18)/(Datos!S18-Datos!Q18+Datos!R18)," - ")</f>
        <v>-4.815073272854152E-2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147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81</v>
      </c>
      <c r="AE19" s="957">
        <f t="shared" si="5"/>
        <v>0</v>
      </c>
      <c r="AF19" s="958">
        <f t="shared" si="5"/>
        <v>1</v>
      </c>
      <c r="AG19" s="958">
        <f t="shared" si="5"/>
        <v>0</v>
      </c>
      <c r="AH19" s="958">
        <f t="shared" si="5"/>
        <v>2377</v>
      </c>
      <c r="AI19" s="958">
        <f t="shared" si="5"/>
        <v>0</v>
      </c>
      <c r="AJ19" s="959">
        <f t="shared" si="5"/>
        <v>0</v>
      </c>
      <c r="AK19" s="959">
        <f t="shared" si="5"/>
        <v>0</v>
      </c>
      <c r="AL19" s="951">
        <f t="shared" si="5"/>
        <v>87</v>
      </c>
      <c r="AM19" s="951">
        <f t="shared" si="5"/>
        <v>163</v>
      </c>
      <c r="AN19" s="951">
        <f t="shared" si="5"/>
        <v>0</v>
      </c>
      <c r="AO19" s="951">
        <f t="shared" si="5"/>
        <v>0</v>
      </c>
      <c r="AP19" s="951">
        <f>IF(ISNUMBER(((Datos!L19/Datos!K19)*11)/factor_trimestre),((Datos!L19/Datos!K19)*11)/factor_trimestre," - ")</f>
        <v>10.570116861435727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2.8104026845637585E-2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50.229473419497438</v>
      </c>
      <c r="AM21" s="736"/>
      <c r="AN21" s="736">
        <f>IF(ISNUMBER(STDEV(AN8:AN18)),STDEV(AN8:AN18),"-")</f>
        <v>0</v>
      </c>
      <c r="AO21" s="742">
        <f>IF(ISNUMBER(STDEV(AO8:AO18)),STDEV(AO8:AO18),"-")</f>
        <v>0</v>
      </c>
      <c r="AP21" s="779">
        <f>IF(ISNUMBER(STDEV(AP8:AP18)),STDEV(AP8:AP18),"-")</f>
        <v>1.3407667776744239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SIdLsuxslDfzMK9JL4uYxZlr4nWJ5nCVwj81sk55YqjhicY/2rz+8qP/loJ85pzdPWavfj3/GnMf/g36nSWfZA==" saltValue="8szvicrUSBESAzVA2LpMj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HUELVA</v>
      </c>
      <c r="C3" s="415"/>
      <c r="F3" s="375"/>
      <c r="G3" s="375"/>
      <c r="H3" s="375"/>
    </row>
    <row r="4" spans="1:15" ht="13.5" thickBot="1">
      <c r="A4" s="375"/>
      <c r="B4" s="391" t="str">
        <f>Criterios!A11 &amp;"  "&amp;Criterios!B11</f>
        <v>Resumenes por Partidos Judiciales  MOGUER</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Y1bvEQmAD8R2er7KBVe24PGLSme9+vEqtK5p/H/kCLmcgbctCxCx4wn/zfn0h7hp+lqW59BlVwJu4xsal5aIGQ==" saltValue="Fp3iRN5nMHHQsBmwM0Prg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ANDALUCIA</v>
      </c>
      <c r="C2" s="391"/>
    </row>
    <row r="3" spans="1:9" ht="19.5">
      <c r="A3" s="425" t="s">
        <v>11</v>
      </c>
      <c r="B3" s="391" t="str">
        <f>Criterios!A10 &amp;"  "&amp;Criterios!B10</f>
        <v>Provincias  HUELVA</v>
      </c>
      <c r="C3" s="391"/>
      <c r="D3" s="425"/>
    </row>
    <row r="4" spans="1:9" ht="13.5" thickBot="1">
      <c r="B4" s="391" t="str">
        <f>Criterios!A11 &amp;"  "&amp;Criterios!B11</f>
        <v>Resumenes por Partidos Judiciales  MOGUER</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87</v>
      </c>
      <c r="E12" s="404">
        <f t="shared" si="0"/>
        <v>43.5</v>
      </c>
      <c r="F12" s="403">
        <f>IF(ISNUMBER(Datos!N12),Datos!N12," - ")</f>
        <v>163</v>
      </c>
      <c r="G12" s="404">
        <f t="shared" si="1"/>
        <v>81.5</v>
      </c>
      <c r="H12" s="403">
        <f>IF(ISNUMBER(Datos!O12),Datos!O12," - ")</f>
        <v>106</v>
      </c>
      <c r="I12" s="404">
        <f t="shared" si="2"/>
        <v>53</v>
      </c>
    </row>
    <row r="13" spans="1:9" ht="14.25" thickTop="1" thickBot="1">
      <c r="A13" s="848" t="str">
        <f>Datos!A13</f>
        <v>TOTAL</v>
      </c>
      <c r="B13" s="849">
        <f>Datos!AO13</f>
        <v>3</v>
      </c>
      <c r="C13" s="851">
        <f>Datos!AR13</f>
        <v>2</v>
      </c>
      <c r="D13" s="849">
        <f>SUBTOTAL(9,D9:D12)</f>
        <v>87</v>
      </c>
      <c r="E13" s="850">
        <f t="shared" si="0"/>
        <v>29</v>
      </c>
      <c r="F13" s="849">
        <f>SUBTOTAL(9,F9:F12)</f>
        <v>163</v>
      </c>
      <c r="G13" s="850">
        <f t="shared" si="1"/>
        <v>54.333333333333336</v>
      </c>
      <c r="H13" s="849">
        <f>SUBTOTAL(9,H9:H12)</f>
        <v>106</v>
      </c>
      <c r="I13" s="850">
        <f>IF(ISNUMBER(H13/B13),H13/B13," - ")</f>
        <v>35.333333333333336</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126</v>
      </c>
      <c r="E16" s="404">
        <f t="shared" si="3"/>
        <v>63</v>
      </c>
      <c r="F16" s="403">
        <f>IF(ISNUMBER(Datos!N16),Datos!N16," - ")</f>
        <v>357</v>
      </c>
      <c r="G16" s="404">
        <f t="shared" si="4"/>
        <v>178.5</v>
      </c>
      <c r="H16" s="403">
        <f>IF(ISNUMBER(Datos!O16),Datos!O16," - ")</f>
        <v>2</v>
      </c>
      <c r="I16" s="404">
        <f t="shared" si="5"/>
        <v>1</v>
      </c>
    </row>
    <row r="17" spans="1:9" ht="13.5" thickBot="1">
      <c r="A17" s="402" t="str">
        <f>Datos!A17</f>
        <v>Jdos. Violencia contra la mujer</v>
      </c>
      <c r="B17" s="427">
        <f>Datos!AO17</f>
        <v>1</v>
      </c>
      <c r="C17" s="428">
        <f>Datos!AQ17</f>
        <v>0</v>
      </c>
      <c r="D17" s="403">
        <f>IF(ISNUMBER(Datos!M17),Datos!M17," - ")</f>
        <v>7</v>
      </c>
      <c r="E17" s="404">
        <f>IF(ISNUMBER(D17/B17),D17/B17," - ")</f>
        <v>7</v>
      </c>
      <c r="F17" s="403">
        <f>IF(ISNUMBER(Datos!N17),Datos!N17," - ")</f>
        <v>25</v>
      </c>
      <c r="G17" s="404">
        <f>IF(ISNUMBER(F17/B17),F17/B17," - ")</f>
        <v>25</v>
      </c>
      <c r="H17" s="403">
        <f>IF(ISNUMBER(Datos!O17),Datos!O17," - ")</f>
        <v>0</v>
      </c>
      <c r="I17" s="404">
        <f t="shared" si="5"/>
        <v>0</v>
      </c>
    </row>
    <row r="18" spans="1:9" ht="14.25" thickTop="1" thickBot="1">
      <c r="A18" s="848" t="str">
        <f>Datos!A18</f>
        <v>TOTAL</v>
      </c>
      <c r="B18" s="849">
        <f>Datos!AO18</f>
        <v>3</v>
      </c>
      <c r="C18" s="851">
        <f>Datos!AR18</f>
        <v>2</v>
      </c>
      <c r="D18" s="849">
        <f>SUBTOTAL(9,D15:D17)</f>
        <v>133</v>
      </c>
      <c r="E18" s="850">
        <f t="shared" si="3"/>
        <v>44.333333333333336</v>
      </c>
      <c r="F18" s="849">
        <f>SUBTOTAL(9,F15:F17)</f>
        <v>382</v>
      </c>
      <c r="G18" s="850">
        <f t="shared" si="4"/>
        <v>127.33333333333333</v>
      </c>
      <c r="H18" s="849">
        <f>SUBTOTAL(9,H15:H17)</f>
        <v>2</v>
      </c>
      <c r="I18" s="850">
        <f>IF(ISNUMBER(H18/B18),H18/B18," - ")</f>
        <v>0.66666666666666663</v>
      </c>
    </row>
    <row r="19" spans="1:9" ht="14.25" thickTop="1" thickBot="1">
      <c r="A19" s="793" t="str">
        <f>Datos!A19</f>
        <v>TOTAL JURISDICCIONES</v>
      </c>
      <c r="B19" s="794">
        <f>Datos!AP19</f>
        <v>2</v>
      </c>
      <c r="C19" s="794">
        <f>Datos!AR19</f>
        <v>2</v>
      </c>
      <c r="D19" s="794">
        <f>SUBTOTAL(9,D8:D18)</f>
        <v>220</v>
      </c>
      <c r="E19" s="795">
        <f>IF(ISNUMBER(D19/B19),D19/B19," - ")</f>
        <v>110</v>
      </c>
      <c r="F19" s="794">
        <f>SUBTOTAL(9,F8:F18)</f>
        <v>545</v>
      </c>
      <c r="G19" s="795">
        <f>IF(ISNUMBER(F19/B19),F19/B19," - ")</f>
        <v>272.5</v>
      </c>
      <c r="H19" s="794">
        <f>SUBTOTAL(9,H8:H18)</f>
        <v>108</v>
      </c>
      <c r="I19" s="795">
        <f>IF(ISNUMBER(H19/B19),H19/B19," - ")</f>
        <v>54</v>
      </c>
    </row>
    <row r="22" spans="1:9">
      <c r="A22" s="391" t="str">
        <f>Criterios!A4</f>
        <v>Fecha Informe: 29 may. 2024</v>
      </c>
    </row>
    <row r="27" spans="1:9">
      <c r="A27" s="414"/>
    </row>
  </sheetData>
  <sheetProtection algorithmName="SHA-512" hashValue="GX1Iksz99mTyb80CXy6TaBw+fKaJ5nJ0Rure28EXJ3zPtpHHlJLQfi1vdDkDk5FYahpvj1AdlAaN/fuP1mjgww==" saltValue="OxxSRZqjBcTvpa2vJehLj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HUELVA</v>
      </c>
    </row>
    <row r="4" spans="1:4" ht="13.5" thickBot="1">
      <c r="B4" s="391" t="str">
        <f>Criterios!A11 &amp;"  "&amp;Criterios!B11</f>
        <v>Resumenes por Partidos Judiciales  MOGUER</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147</v>
      </c>
      <c r="C12" s="434">
        <f>IF(ISNUMBER(Datos!Q12),Datos!Q12," - ")</f>
        <v>81</v>
      </c>
      <c r="D12" s="408">
        <f>IF(ISNUMBER(Datos!R12),Datos!R12," - ")</f>
        <v>2377</v>
      </c>
    </row>
    <row r="13" spans="1:4" ht="14.25" thickTop="1" thickBot="1">
      <c r="A13" s="848" t="str">
        <f>Datos!A13</f>
        <v>TOTAL</v>
      </c>
      <c r="B13" s="849">
        <f>SUBTOTAL(9,B9:B12)</f>
        <v>147</v>
      </c>
      <c r="C13" s="853">
        <f>SUBTOTAL(9,C9:C12)</f>
        <v>81</v>
      </c>
      <c r="D13" s="851">
        <f>SUBTOTAL(9,D9:D12)</f>
        <v>2377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6</v>
      </c>
      <c r="C16" s="434">
        <f>IF(ISNUMBER(Datos!Q16),Datos!Q16," - ")</f>
        <v>5</v>
      </c>
      <c r="D16" s="408">
        <f>IF(ISNUMBER(Datos!R16),Datos!R16," - ")</f>
        <v>74</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6</v>
      </c>
      <c r="C18" s="853">
        <f>SUBTOTAL(9,C15:C17)</f>
        <v>5</v>
      </c>
      <c r="D18" s="851">
        <f>SUBTOTAL(9,D15:D17)</f>
        <v>74</v>
      </c>
    </row>
    <row r="19" spans="1:4" ht="16.5" customHeight="1" thickTop="1" thickBot="1">
      <c r="A19" s="793" t="str">
        <f>Datos!A19</f>
        <v>TOTAL JURISDICCIONES</v>
      </c>
      <c r="B19" s="798">
        <f>SUBTOTAL(9,B8:B18)</f>
        <v>153</v>
      </c>
      <c r="C19" s="799">
        <f>SUBTOTAL(9,C8:C18)</f>
        <v>86</v>
      </c>
      <c r="D19" s="800">
        <f>SUBTOTAL(9,D8:D18)</f>
        <v>2451</v>
      </c>
    </row>
    <row r="20" spans="1:4" ht="7.5" customHeight="1"/>
    <row r="21" spans="1:4" ht="6" customHeight="1"/>
    <row r="22" spans="1:4">
      <c r="A22" s="391" t="str">
        <f>Criterios!A4</f>
        <v>Fecha Informe: 29 may. 2024</v>
      </c>
    </row>
    <row r="27" spans="1:4">
      <c r="A27" s="414"/>
    </row>
  </sheetData>
  <sheetProtection algorithmName="SHA-512" hashValue="+39o4tezVbQbJAsZ55XIfFpYT6ABH3hgGRYeN/XA1v3t+NfWwjXiFag8pZ+EeSuAc8mU9QhiGc0EPAswm1WhVw==" saltValue="a7GAwrZ1dmAjRYzFEzI9F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HUELVA</v>
      </c>
    </row>
    <row r="4" spans="1:11" ht="10.5" customHeight="1" thickBot="1">
      <c r="B4" s="391" t="str">
        <f>Criterios!A11 &amp;"  "&amp;Criterios!B11</f>
        <v>Resumenes por Partidos Judiciales  MOGUER</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v>
      </c>
      <c r="C10" s="456">
        <f>IF(ISNUMBER((Datos!J10-Datos!T10)/Datos!T10),(Datos!J10-Datos!T10)/Datos!T10," - ")</f>
        <v>-0.5</v>
      </c>
      <c r="D10" s="456">
        <f>IF(ISNUMBER((Datos!K10-Datos!U10)/Datos!U10),(Datos!K10-Datos!U10)/Datos!U10," - ")</f>
        <v>-1</v>
      </c>
      <c r="E10" s="456">
        <f>IF(ISNUMBER((Datos!L10-Datos!V10)/Datos!V10),(Datos!L10-Datos!V10)/Datos!V10," - ")</f>
        <v>-0.9</v>
      </c>
      <c r="F10" s="456" t="str">
        <f>IF(ISNUMBER((Datos!M10-Datos!W10)/Datos!W10),(Datos!M10-Datos!W10)/Datos!W10," - ")</f>
        <v xml:space="preserve"> - </v>
      </c>
      <c r="G10" s="457" t="str">
        <f>IF(ISNUMBER((Datos!N10-Datos!X10)/Datos!X10),(Datos!N10-Datos!X10)/Datos!X10," - ")</f>
        <v xml:space="preserve"> - </v>
      </c>
      <c r="H10" s="455">
        <f>IF(ISNUMBER(((NºAsuntos!G10/NºAsuntos!E10)-Datos!BD10)/Datos!BD10),((NºAsuntos!G10/NºAsuntos!E10)-Datos!BD10)/Datos!BD10," - ")</f>
        <v>-1</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3.6462699077954734E-2</v>
      </c>
      <c r="C12" s="456">
        <f>IF(ISNUMBER(
   IF(J_V="SI",(Datos!J12-Datos!T12)/Datos!T12,(Datos!J12+Datos!Z12-(Datos!T12+Datos!AH12))/(Datos!T12+Datos!AH12))
     ),IF(J_V="SI",(Datos!J12-Datos!T12)/Datos!T12,(Datos!J12+Datos!Z12-(Datos!T12+Datos!AH12))/(Datos!T12+Datos!AH12))," - ")</f>
        <v>-1.3615733736762481E-2</v>
      </c>
      <c r="D12" s="456">
        <f>IF(ISNUMBER(
   IF(J_V="SI",(Datos!K12-Datos!U12)/Datos!U12,(Datos!K12+Datos!AA12-(Datos!U12+Datos!AI12))/(Datos!U12+Datos!AI12))
     ),IF(J_V="SI",(Datos!K12-Datos!U12)/Datos!U12,(Datos!K12+Datos!AA12-(Datos!U12+Datos!AI12))/(Datos!U12+Datos!AI12))," - ")</f>
        <v>-0.14494680851063829</v>
      </c>
      <c r="E12" s="456">
        <f>IF(ISNUMBER(
   IF(J_V="SI",(Datos!L12-Datos!V12)/Datos!V12,(Datos!L12+Datos!AB12-(Datos!V12+Datos!AJ12))/(Datos!V12+Datos!AJ12))
     ),IF(J_V="SI",(Datos!L12-Datos!V12)/Datos!V12,(Datos!L12+Datos!AB12-(Datos!V12+Datos!AJ12))/(Datos!V12+Datos!AJ12))," - ")</f>
        <v>8.1481481481481488E-2</v>
      </c>
      <c r="F12" s="456">
        <f>IF(ISNUMBER((Datos!M12-Datos!W12)/Datos!W12),(Datos!M12-Datos!W12)/Datos!W12," - ")</f>
        <v>-0.4041095890410959</v>
      </c>
      <c r="G12" s="457">
        <f>IF(ISNUMBER((Datos!N12-Datos!X12)/Datos!X12),(Datos!N12-Datos!X12)/Datos!X12," - ")</f>
        <v>-0.54972375690607733</v>
      </c>
      <c r="H12" s="455">
        <f>IF(ISNUMBER(((NºAsuntos!G12/NºAsuntos!E12)-Datos!BD12)/Datos!BD12),((NºAsuntos!G12/NºAsuntos!E12)-Datos!BD12)/Datos!BD12," - ")</f>
        <v>-0.13314392703302444</v>
      </c>
      <c r="I12" s="456">
        <f>IF(ISNUMBER(((NºAsuntos!I12/NºAsuntos!G12)-Datos!BE12)/Datos!BE12),((NºAsuntos!I12/NºAsuntos!G12)-Datos!BE12)/Datos!BE12," - ")</f>
        <v>0.26481193479638265</v>
      </c>
      <c r="J12" s="461">
        <f>IF(ISNUMBER((('Resol  Asuntos'!D12/NºAsuntos!G12)-Datos!BF12)/Datos!BF12),(('Resol  Asuntos'!D12/NºAsuntos!G12)-Datos!BF12)/Datos!BF12," - ")</f>
        <v>-0.71892802213381679</v>
      </c>
      <c r="K12" s="462">
        <f>IF(ISNUMBER((((NºAsuntos!C12+NºAsuntos!E12)/NºAsuntos!G12)-Datos!BG12)/Datos!BG12),(((NºAsuntos!C12+NºAsuntos!E12)/NºAsuntos!G12)-Datos!BG12)/Datos!BG12," - ")</f>
        <v>0.19945631452500751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2.9987505206164097E-2</v>
      </c>
      <c r="C13" s="855">
        <f>IF(ISNUMBER(
   IF(J_V="SI",(Datos!J13-Datos!T13)/Datos!T13,(Datos!J13+Datos!Z13-(Datos!T13+Datos!AH13))/(Datos!T13+Datos!AH13))
     ),IF(J_V="SI",(Datos!J13-Datos!T13)/Datos!T13,(Datos!J13+Datos!Z13-(Datos!T13+Datos!AH13))/(Datos!T13+Datos!AH13))," - ")</f>
        <v>-1.5082956259426848E-2</v>
      </c>
      <c r="D13" s="855">
        <f>IF(ISNUMBER(
   IF(J_V="SI",(Datos!K13-Datos!U13)/Datos!U13,(Datos!K13+Datos!AA13-(Datos!U13+Datos!AI13))/(Datos!U13+Datos!AI13))
     ),IF(J_V="SI",(Datos!K13-Datos!U13)/Datos!U13,(Datos!K13+Datos!AA13-(Datos!U13+Datos!AI13))/(Datos!U13+Datos!AI13))," - ")</f>
        <v>-0.15283267457180499</v>
      </c>
      <c r="E13" s="855">
        <f>IF(ISNUMBER(
   IF(J_V="SI",(Datos!L13-Datos!V13)/Datos!V13,(Datos!L13+Datos!AB13-(Datos!V13+Datos!AJ13))/(Datos!V13+Datos!AJ13))
     ),IF(J_V="SI",(Datos!L13-Datos!V13)/Datos!V13,(Datos!L13+Datos!AB13-(Datos!V13+Datos!AJ13))/(Datos!V13+Datos!AJ13))," - ")</f>
        <v>7.7223427331887196E-2</v>
      </c>
      <c r="F13" s="856">
        <f>IF(ISNUMBER((Datos!M13-Datos!W13)/Datos!W13),(Datos!M13-Datos!W13)/Datos!W13," - ")</f>
        <v>-0.4041095890410959</v>
      </c>
      <c r="G13" s="857">
        <f>IF(ISNUMBER((Datos!N13-Datos!X13)/Datos!X13),(Datos!N13-Datos!X13)/Datos!X13," - ")</f>
        <v>-0.54972375690607733</v>
      </c>
      <c r="H13" s="857">
        <f>IF(ISNUMBER(((NºAsuntos!G13/NºAsuntos!E13)-Datos!BD13)/Datos!BD13),((NºAsuntos!G13/NºAsuntos!E13)-Datos!BD13)/Datos!BD13," - ")</f>
        <v>-0.13985920863875445</v>
      </c>
      <c r="I13" s="857">
        <f>IF(ISNUMBER(((NºAsuntos!I13/NºAsuntos!G13)-Datos!BE13)/Datos!BE13),((NºAsuntos!I13/NºAsuntos!G13)-Datos!BE13)/Datos!BE13," - ")</f>
        <v>0.27155922448662889</v>
      </c>
      <c r="J13" s="857">
        <f>IF(ISNUMBER((('Resol  Asuntos'!D13/NºAsuntos!G13)-Datos!BF13)/Datos!BF13),(('Resol  Asuntos'!D13/NºAsuntos!G13)-Datos!BF13)/Datos!BF13," - ")</f>
        <v>-0.716311660637722</v>
      </c>
      <c r="K13" s="857">
        <f>IF(ISNUMBER((((NºAsuntos!C13+NºAsuntos!E13)/NºAsuntos!G13)-Datos!BG13)/Datos!BG13),(((NºAsuntos!C13+NºAsuntos!E13)/NºAsuntos!G13)-Datos!BG13)/Datos!BG13," - ")</f>
        <v>0.20428982129297638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0.18990203466465713</v>
      </c>
      <c r="C16" s="456">
        <f>IF(ISNUMBER(
   IF(D_I="SI",(Datos!J16-Datos!T16)/Datos!T16,(Datos!J16+Datos!AD16-(Datos!T16+Datos!AL16))/(Datos!T16+Datos!AL16))
     ),IF(D_I="SI",(Datos!J16-Datos!T16)/Datos!T16,(Datos!J16+Datos!AD16-(Datos!T16+Datos!AL16))/(Datos!T16+Datos!AL16))," - ")</f>
        <v>-4.2748091603053436E-2</v>
      </c>
      <c r="D16" s="456">
        <f>IF(ISNUMBER(
   IF(D_I="SI",(Datos!K16-Datos!U16)/Datos!U16,(Datos!K16+Datos!AE16-(Datos!U16+Datos!AM16))/(Datos!U16+Datos!AM16))
     ),IF(D_I="SI",(Datos!K16-Datos!U16)/Datos!U16,(Datos!K16+Datos!AE16-(Datos!U16+Datos!AM16))/(Datos!U16+Datos!AM16))," - ")</f>
        <v>-0.20234604105571846</v>
      </c>
      <c r="E16" s="456">
        <f>IF(ISNUMBER(
   IF(D_I="SI",(Datos!L16-Datos!V16)/Datos!V16,(Datos!L16+Datos!AF16-(Datos!V16+Datos!AN16))/(Datos!V16+Datos!AN16))
     ),IF(D_I="SI",(Datos!L16-Datos!V16)/Datos!V16,(Datos!L16+Datos!AF16-(Datos!V16+Datos!AN16))/(Datos!V16+Datos!AN16))," - ")</f>
        <v>0.27846153846153848</v>
      </c>
      <c r="F16" s="456">
        <f>IF(ISNUMBER((Datos!M16-Datos!W16)/Datos!W16),(Datos!M16-Datos!W16)/Datos!W16," - ")</f>
        <v>0.46511627906976744</v>
      </c>
      <c r="G16" s="457">
        <f>IF(ISNUMBER((Datos!N16-Datos!X16)/Datos!X16),(Datos!N16-Datos!X16)/Datos!X16," - ")</f>
        <v>-0.30813953488372092</v>
      </c>
      <c r="H16" s="455">
        <f>IF(ISNUMBER(((NºAsuntos!G16/NºAsuntos!E16)-Datos!BD16)/Datos!BD16),((NºAsuntos!G16/NºAsuntos!E16)-Datos!BD16)/Datos!BD16," - ")</f>
        <v>-0.16672513060844599</v>
      </c>
      <c r="I16" s="456">
        <f>IF(ISNUMBER(((NºAsuntos!I16/NºAsuntos!G16)-Datos!BE16)/Datos!BE16),((NºAsuntos!I16/NºAsuntos!G16)-Datos!BE16)/Datos!BE16," - ")</f>
        <v>0.60277714932126691</v>
      </c>
      <c r="J16" s="461">
        <f>IF(ISNUMBER((('Resol  Asuntos'!D16/NºAsuntos!G16)-Datos!BF16)/Datos!BF16),(('Resol  Asuntos'!D16/NºAsuntos!G16)-Datos!BF16)/Datos!BF16," - ")</f>
        <v>0.83678180574555416</v>
      </c>
      <c r="K16" s="462">
        <f>IF(ISNUMBER((((NºAsuntos!C16+NºAsuntos!E16)/NºAsuntos!G16)-Datos!BG16)/Datos!BG16),(((NºAsuntos!C16+NºAsuntos!E16)/NºAsuntos!G16)-Datos!BG16)/Datos!BG16," - ")</f>
        <v>0.39536341781919609</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1.5675675675675675</v>
      </c>
      <c r="C17" s="456">
        <f>IF(ISNUMBER(
   IF(D_I="SI",(Datos!J17-Datos!T17)/Datos!T17,(Datos!J17+Datos!AD17-(Datos!T17+Datos!AL17))/(Datos!T17+Datos!AL17))
     ),IF(D_I="SI",(Datos!J17-Datos!T17)/Datos!T17,(Datos!J17+Datos!AD17-(Datos!T17+Datos!AL17))/(Datos!T17+Datos!AL17))," - ")</f>
        <v>-0.1388888888888889</v>
      </c>
      <c r="D17" s="456">
        <f>IF(ISNUMBER(
   IF(D_I="SI",(Datos!K17-Datos!U17)/Datos!U17,(Datos!K17+Datos!AE17-(Datos!U17+Datos!AM17))/(Datos!U17+Datos!AM17))
     ),IF(D_I="SI",(Datos!K17-Datos!U17)/Datos!U17,(Datos!K17+Datos!AE17-(Datos!U17+Datos!AM17))/(Datos!U17+Datos!AM17))," - ")</f>
        <v>-0.60759493670886078</v>
      </c>
      <c r="E17" s="456">
        <f>IF(ISNUMBER(
   IF(D_I="SI",(Datos!L17-Datos!V17)/Datos!V17,(Datos!L17+Datos!AF17-(Datos!V17+Datos!AN17))/(Datos!V17+Datos!AN17))
     ),IF(D_I="SI",(Datos!L17-Datos!V17)/Datos!V17,(Datos!L17+Datos!AF17-(Datos!V17+Datos!AN17))/(Datos!V17+Datos!AN17))," - ")</f>
        <v>3.2</v>
      </c>
      <c r="F17" s="456">
        <f>IF(ISNUMBER((Datos!M17-Datos!W17)/Datos!W17),(Datos!M17-Datos!W17)/Datos!W17," - ")</f>
        <v>-0.5</v>
      </c>
      <c r="G17" s="457">
        <f>IF(ISNUMBER((Datos!N17-Datos!X17)/Datos!X17),(Datos!N17-Datos!X17)/Datos!X17," - ")</f>
        <v>-0.60317460317460314</v>
      </c>
      <c r="H17" s="455">
        <f>IF(ISNUMBER(((NºAsuntos!G17/NºAsuntos!E17)-Datos!BD17)/Datos!BD17),((NºAsuntos!G17/NºAsuntos!E17)-Datos!BD17)/Datos!BD17," - ")</f>
        <v>-0.54430379746835444</v>
      </c>
      <c r="I17" s="456">
        <f>IF(ISNUMBER(((NºAsuntos!I17/NºAsuntos!G17)-Datos!BE17)/Datos!BE17),((NºAsuntos!I17/NºAsuntos!G17)-Datos!BE17)/Datos!BE17," - ")</f>
        <v>9.703225806451611</v>
      </c>
      <c r="J17" s="461">
        <f>IF(ISNUMBER((('Resol  Asuntos'!D17/NºAsuntos!G17)-Datos!BF17)/Datos!BF17),(('Resol  Asuntos'!D17/NºAsuntos!G17)-Datos!BF17)/Datos!BF17," - ")</f>
        <v>0.27419354838709675</v>
      </c>
      <c r="K17" s="462">
        <f>IF(ISNUMBER((((NºAsuntos!C17+NºAsuntos!E17)/NºAsuntos!G17)-Datos!BG17)/Datos!BG17),(((NºAsuntos!C17+NºAsuntos!E17)/NºAsuntos!G17)-Datos!BG17)/Datos!BG17," - ")</f>
        <v>2.6706126072802601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0.22727272727272727</v>
      </c>
      <c r="C18" s="855">
        <f>IF(ISNUMBER(
   IF(Criterios!B14="SI",(Datos!J18-Datos!T18)/Datos!T18,(Datos!J18+Datos!AD18-(Datos!T18+Datos!AL18))/(Datos!T18+Datos!AL18))
     ),IF(Criterios!B14="SI",(Datos!J18-Datos!T18)/Datos!T18,(Datos!J18+Datos!AD18-(Datos!T18+Datos!AL18))/(Datos!T18+Datos!AL18))," - ")</f>
        <v>-5.2269601100412656E-2</v>
      </c>
      <c r="D18" s="855">
        <f>IF(ISNUMBER(
   IF(Criterios!B14="SI",(Datos!K18-Datos!U18)/Datos!U18,(Datos!K18+Datos!AE18-(Datos!U18+Datos!AM18))/(Datos!U18+Datos!AM18))
     ),IF(Criterios!B14="SI",(Datos!K18-Datos!U18)/Datos!U18,(Datos!K18+Datos!AE18-(Datos!U18+Datos!AM18))/(Datos!U18+Datos!AM18))," - ")</f>
        <v>-0.24441524310118265</v>
      </c>
      <c r="E18" s="855">
        <f>IF(ISNUMBER(
   IF(Criterios!B14="SI",(Datos!L18-Datos!V18)/Datos!V18,(Datos!L18+Datos!AF18-(Datos!V18+Datos!AN18))/(Datos!V18+Datos!AN18))
     ),IF(Criterios!B14="SI",(Datos!L18-Datos!V18)/Datos!V18,(Datos!L18+Datos!AF18-(Datos!V18+Datos!AN18))/(Datos!V18+Datos!AN18))," - ")</f>
        <v>0.34436090225563909</v>
      </c>
      <c r="F18" s="856">
        <f>IF(ISNUMBER((Datos!M18-Datos!W18)/Datos!W18),(Datos!M18-Datos!W18)/Datos!W18," - ")</f>
        <v>0.33</v>
      </c>
      <c r="G18" s="857">
        <f>IF(ISNUMBER((Datos!N18-Datos!X18)/Datos!X18),(Datos!N18-Datos!X18)/Datos!X18," - ")</f>
        <v>-0.34024179620034545</v>
      </c>
      <c r="H18" s="857">
        <f>IF(ISNUMBER(((NºAsuntos!G18/NºAsuntos!E18)-Datos!BD18)/Datos!BD18),((NºAsuntos!G18/NºAsuntos!E18)-Datos!BD18)/Datos!BD18," - ")</f>
        <v>-0.20274293430269918</v>
      </c>
      <c r="I18" s="857">
        <f>IF(ISNUMBER(((NºAsuntos!I18/NºAsuntos!G18)-Datos!BE18)/Datos!BE18),((NºAsuntos!I18/NºAsuntos!G18)-Datos!BE18)/Datos!BE18," - ")</f>
        <v>0.77923242889833289</v>
      </c>
      <c r="J18" s="857">
        <f>IF(ISNUMBER((('Resol  Asuntos'!D18/NºAsuntos!G18)-Datos!BF18)/Datos!BF18),(('Resol  Asuntos'!D18/NºAsuntos!G18)-Datos!BF18)/Datos!BF18," - ")</f>
        <v>0.76022608695652183</v>
      </c>
      <c r="K18" s="857">
        <f>IF(ISNUMBER((((NºAsuntos!C18+NºAsuntos!E18)/NºAsuntos!G18)-Datos!BG18)/Datos!BG18),(((NºAsuntos!C18+NºAsuntos!E18)/NºAsuntos!G18)-Datos!BG18)/Datos!BG18," - ")</f>
        <v>0.49563803464121575</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0.10146082337317397</v>
      </c>
      <c r="C19" s="802">
        <f>IF(ISNUMBER(
   IF(J_V="SI",(Datos!J19-Datos!T19)/Datos!T19,(Datos!J19+Datos!Z19-(Datos!T19+Datos!AH19))/(Datos!T19+Datos!AH19))
     ),IF(J_V="SI",(Datos!J19-Datos!T19)/Datos!T19,(Datos!J19+Datos!Z19-(Datos!T19+Datos!AH19))/(Datos!T19+Datos!AH19))," - ")</f>
        <v>-3.4532374100719423E-2</v>
      </c>
      <c r="D19" s="802">
        <f>IF(ISNUMBER(
   IF(J_V="SI",(Datos!K19-Datos!U19)/Datos!U19,(Datos!K19+Datos!AA19-(Datos!U19+Datos!AI19))/(Datos!U19+Datos!AI19))
     ),IF(J_V="SI",(Datos!K19-Datos!U19)/Datos!U19,(Datos!K19+Datos!AA19-(Datos!U19+Datos!AI19))/(Datos!U19+Datos!AI19))," - ")</f>
        <v>-0.1986842105263158</v>
      </c>
      <c r="E19" s="802">
        <f>IF(ISNUMBER(
   IF(J_V="SI",(Datos!L19-Datos!V19)/Datos!V19,(Datos!L19+Datos!AB19-(Datos!V19+Datos!AJ19))/(Datos!V19+Datos!AJ19))
     ),IF(J_V="SI",(Datos!L19-Datos!V19)/Datos!V19,(Datos!L19+Datos!AB19-(Datos!V19+Datos!AJ19))/(Datos!V19+Datos!AJ19))," - ")</f>
        <v>0.1749656121045392</v>
      </c>
      <c r="F19" s="803">
        <f>IF(ISNUMBER((Datos!M19-Datos!W19)/Datos!W19),(Datos!M19-Datos!W19)/Datos!W19," - ")</f>
        <v>-0.10569105691056911</v>
      </c>
      <c r="G19" s="804">
        <f>IF(ISNUMBER((Datos!N19-Datos!X19)/Datos!X19),(Datos!N19-Datos!X19)/Datos!X19," - ")</f>
        <v>-0.4208289054197662</v>
      </c>
      <c r="H19" s="805">
        <f>IF(ISNUMBER((Tasas!B19-Datos!BD19)/Datos!BD19),(Tasas!B19-Datos!BD19)/Datos!BD19," - ")</f>
        <v>-0.17002313906973102</v>
      </c>
      <c r="I19" s="806">
        <f>IF(ISNUMBER((Tasas!C19-Datos!BE19)/Datos!BE19),(Tasas!C19-Datos!BE19)/Datos!BE19," - ")</f>
        <v>0.46629534515508997</v>
      </c>
      <c r="J19" s="807">
        <f>IF(ISNUMBER((Tasas!D19-Datos!BF19)/Datos!BF19),(Tasas!D19-Datos!BF19)/Datos!BF19," - ")</f>
        <v>-0.40573930721713974</v>
      </c>
      <c r="K19" s="807">
        <f>IF(ISNUMBER((Tasas!E19-Datos!BG19)/Datos!BG19),(Tasas!E19-Datos!BG19)/Datos!BG19," - ")</f>
        <v>0.32880379818404515</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SYHQVsZMf66XrBp7hMIaDimQTuIbaXYZ2fZK/ptc7B8ES5NROZDDc/JMxbrVk8/9D9D1dR8/+0cElD6/vdvpkg==" saltValue="8ApYVXWY/cxeU80FysPE5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HUELVA</v>
      </c>
    </row>
    <row r="4" spans="1:7" ht="11.25" customHeight="1" thickBot="1">
      <c r="B4" s="391" t="str">
        <f>Criterios!A11 &amp;"  "&amp;Criterios!B11</f>
        <v>Resumenes por Partidos Judiciales  MOGUER</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0.98619631901840488</v>
      </c>
      <c r="C12" s="443">
        <f>IF(ISNUMBER(NºAsuntos!I12/NºAsuntos!G12),NºAsuntos!I12/NºAsuntos!G12," - ")</f>
        <v>3.8600311041990669</v>
      </c>
      <c r="D12" s="444">
        <f>IF(ISNUMBER('Resol  Asuntos'!D12/NºAsuntos!G12),'Resol  Asuntos'!D12/NºAsuntos!G12," - ")</f>
        <v>0.13530326594090203</v>
      </c>
      <c r="E12" s="445">
        <f>IF(ISNUMBER((NºAsuntos!C12+NºAsuntos!E12)/NºAsuntos!G12),(NºAsuntos!C12+NºAsuntos!E12)/NºAsuntos!G12," - ")</f>
        <v>4.8600311041990665</v>
      </c>
      <c r="G12" s="463"/>
    </row>
    <row r="13" spans="1:7" ht="14.25" thickTop="1" thickBot="1">
      <c r="A13" s="848" t="str">
        <f>Datos!A13</f>
        <v>TOTAL</v>
      </c>
      <c r="B13" s="858">
        <f>IF(ISNUMBER(NºAsuntos!G13/NºAsuntos!E13),NºAsuntos!G13/NºAsuntos!E13," - ")</f>
        <v>0.9846860643185299</v>
      </c>
      <c r="C13" s="859">
        <f>IF(ISNUMBER(NºAsuntos!I13/NºAsuntos!G13),NºAsuntos!I13/NºAsuntos!G13," - ")</f>
        <v>3.8615863141524107</v>
      </c>
      <c r="D13" s="860">
        <f>IF(ISNUMBER('Resol  Asuntos'!D13/NºAsuntos!G13),'Resol  Asuntos'!D13/NºAsuntos!G13," - ")</f>
        <v>0.13530326594090203</v>
      </c>
      <c r="E13" s="861">
        <f>IF(ISNUMBER((NºAsuntos!C13+NºAsuntos!E13)/NºAsuntos!G13),(NºAsuntos!C13+NºAsuntos!E13)/NºAsuntos!G13," - ")</f>
        <v>4.8615863141524107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0.86762360446570974</v>
      </c>
      <c r="C16" s="443">
        <f>IF(ISNUMBER(NºAsuntos!I16/NºAsuntos!G16),NºAsuntos!I16/NºAsuntos!G16," - ")</f>
        <v>3.0551470588235294</v>
      </c>
      <c r="D16" s="444">
        <f>IF(ISNUMBER('Resol  Asuntos'!D16/NºAsuntos!G16),'Resol  Asuntos'!D16/NºAsuntos!G16," - ")</f>
        <v>0.23161764705882354</v>
      </c>
      <c r="E16" s="445">
        <f>IF(ISNUMBER((NºAsuntos!C16+NºAsuntos!E16)/NºAsuntos!G16),(NºAsuntos!C16+NºAsuntos!E16)/NºAsuntos!G16," - ")</f>
        <v>4.055147058823529</v>
      </c>
      <c r="G16" s="463"/>
    </row>
    <row r="17" spans="1:7" ht="13.5" thickBot="1">
      <c r="A17" s="402" t="str">
        <f>Datos!A17</f>
        <v>Jdos. Violencia contra la mujer</v>
      </c>
      <c r="B17" s="442">
        <f>IF(ISNUMBER(NºAsuntos!G17/NºAsuntos!E17),NºAsuntos!G17/NºAsuntos!E17," - ")</f>
        <v>0.5</v>
      </c>
      <c r="C17" s="443">
        <f>IF(ISNUMBER(NºAsuntos!I17/NºAsuntos!G17),NºAsuntos!I17/NºAsuntos!G17," - ")</f>
        <v>4.064516129032258</v>
      </c>
      <c r="D17" s="444">
        <f>IF(ISNUMBER('Resol  Asuntos'!D17/NºAsuntos!G17),'Resol  Asuntos'!D17/NºAsuntos!G17," - ")</f>
        <v>0.22580645161290322</v>
      </c>
      <c r="E17" s="445">
        <f>IF(ISNUMBER((NºAsuntos!C17+NºAsuntos!E17)/NºAsuntos!G17),(NºAsuntos!C17+NºAsuntos!E17)/NºAsuntos!G17," - ")</f>
        <v>5.064516129032258</v>
      </c>
      <c r="G17" s="463"/>
    </row>
    <row r="18" spans="1:7" ht="14.25" thickTop="1" thickBot="1">
      <c r="A18" s="848" t="str">
        <f>Datos!A18</f>
        <v>TOTAL</v>
      </c>
      <c r="B18" s="858">
        <f>IF(ISNUMBER(NºAsuntos!G18/NºAsuntos!E18),NºAsuntos!G18/NºAsuntos!E18," - ")</f>
        <v>0.83454281567489119</v>
      </c>
      <c r="C18" s="859">
        <f>IF(ISNUMBER(NºAsuntos!I18/NºAsuntos!G18),NºAsuntos!I18/NºAsuntos!G18," - ")</f>
        <v>3.1095652173913044</v>
      </c>
      <c r="D18" s="862">
        <f>IF(ISNUMBER('Resol  Asuntos'!D18/NºAsuntos!G18),'Resol  Asuntos'!D18/NºAsuntos!G18," - ")</f>
        <v>0.23130434782608697</v>
      </c>
      <c r="E18" s="861">
        <f>IF(ISNUMBER((NºAsuntos!C18+NºAsuntos!E18)/NºAsuntos!G18),(NºAsuntos!C18+NºAsuntos!E18)/NºAsuntos!G18," - ")</f>
        <v>4.109565217391304</v>
      </c>
      <c r="G18" s="463"/>
    </row>
    <row r="19" spans="1:7" ht="15.75" customHeight="1" thickTop="1" thickBot="1">
      <c r="A19" s="793" t="str">
        <f>Datos!A19</f>
        <v>TOTAL JURISDICCIONES</v>
      </c>
      <c r="B19" s="808">
        <f>IF(ISNUMBER(NºAsuntos!G19/NºAsuntos!E19),NºAsuntos!G19/NºAsuntos!E19," - ")</f>
        <v>0.90760059612518629</v>
      </c>
      <c r="C19" s="809">
        <f>IF(ISNUMBER(NºAsuntos!I19/NºAsuntos!G19),NºAsuntos!I19/NºAsuntos!G19," - ")</f>
        <v>3.506568144499179</v>
      </c>
      <c r="D19" s="810">
        <f>IF(ISNUMBER('Resol  Asuntos'!D19/NºAsuntos!G19),'Resol  Asuntos'!D19/NºAsuntos!G19," - ")</f>
        <v>0.180623973727422</v>
      </c>
      <c r="E19" s="811">
        <f>IF(ISNUMBER((NºAsuntos!C19+NºAsuntos!E19)/NºAsuntos!G19),(NºAsuntos!C19+NºAsuntos!E19)/NºAsuntos!G19," - ")</f>
        <v>4.5065681444991794</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ttHqBp9cV0+Zzfxx2uYn0e+hwZbL2CRlpJ3P5bwSR9MlZW8s+V1eEArGlHuYyZ7fZqltiweep7soOOIrq2XStQ==" saltValue="b1CbYHhHnxNv8jJm616JL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HUELVA</v>
      </c>
      <c r="N2" s="262" t="str">
        <f>Criterios!A11 &amp;"  "&amp;Criterios!B11</f>
        <v>Resumenes por Partidos Judiciales  MOGUER</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1</v>
      </c>
      <c r="AB10" s="334">
        <f>IF(ISNUMBER(Datos!R10),Datos!R10," - ")</f>
        <v>0</v>
      </c>
      <c r="AC10" s="334">
        <f t="shared" ref="AC10:AC12" si="1">IF(ISNUMBER(AA10+AB10),AA10+AB10," - ")</f>
        <v>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147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81</v>
      </c>
      <c r="Y12" s="334">
        <f t="shared" si="0"/>
        <v>81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2377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87</v>
      </c>
      <c r="AJ12" s="229" t="str">
        <f>IF(ISNUMBER(Datos!BW12),Datos!BW12," - ")</f>
        <v xml:space="preserve"> - </v>
      </c>
      <c r="AK12" s="228" t="str">
        <f>IF(ISNUMBER(Datos!BX12),Datos!BX12," - ")</f>
        <v xml:space="preserve"> - </v>
      </c>
      <c r="AL12" s="243">
        <f>IF(ISNUMBER(NºAsuntos!G12/NºAsuntos!E12),NºAsuntos!G12/NºAsuntos!E12," - ")</f>
        <v>0.98619631901840488</v>
      </c>
      <c r="AM12" s="260">
        <f>IF(ISNUMBER(((NºAsuntos!I12/NºAsuntos!G12)*11)/factor_trimestre),((NºAsuntos!I12/NºAsuntos!G12)*11)/factor_trimestre," - ")</f>
        <v>11.580093312597201</v>
      </c>
      <c r="AN12" s="244">
        <f>IF(ISNUMBER('Resol  Asuntos'!D12/NºAsuntos!G12),'Resol  Asuntos'!D12/NºAsuntos!G12," - ")</f>
        <v>0.13530326594090203</v>
      </c>
      <c r="AO12" s="245">
        <f>IF(ISNUMBER((NºAsuntos!C12+NºAsuntos!E12)/NºAsuntos!G12),(NºAsuntos!C12+NºAsuntos!E12)/NºAsuntos!G12," - ")</f>
        <v>4.8600311041990665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0</v>
      </c>
      <c r="G13" s="866">
        <f t="shared" si="3"/>
        <v>0</v>
      </c>
      <c r="H13" s="865">
        <f t="shared" si="3"/>
        <v>0</v>
      </c>
      <c r="I13" s="867">
        <f t="shared" si="3"/>
        <v>0</v>
      </c>
      <c r="J13" s="867">
        <f t="shared" si="3"/>
        <v>0</v>
      </c>
      <c r="K13" s="867">
        <f t="shared" si="3"/>
        <v>0</v>
      </c>
      <c r="L13" s="867">
        <f t="shared" si="3"/>
        <v>147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81</v>
      </c>
      <c r="Y13" s="868">
        <f t="shared" si="4"/>
        <v>81</v>
      </c>
      <c r="Z13" s="868">
        <f t="shared" si="4"/>
        <v>0</v>
      </c>
      <c r="AA13" s="868">
        <f t="shared" si="4"/>
        <v>1</v>
      </c>
      <c r="AB13" s="868">
        <f t="shared" si="4"/>
        <v>2377</v>
      </c>
      <c r="AC13" s="868">
        <f t="shared" si="4"/>
        <v>1</v>
      </c>
      <c r="AD13" s="868">
        <f t="shared" si="4"/>
        <v>0</v>
      </c>
      <c r="AE13" s="872">
        <f t="shared" si="4"/>
        <v>0</v>
      </c>
      <c r="AF13" s="865">
        <f t="shared" si="4"/>
        <v>0</v>
      </c>
      <c r="AG13" s="873">
        <f t="shared" si="4"/>
        <v>0</v>
      </c>
      <c r="AH13" s="870">
        <f t="shared" si="4"/>
        <v>0</v>
      </c>
      <c r="AI13" s="865">
        <f t="shared" si="4"/>
        <v>87</v>
      </c>
      <c r="AJ13" s="867">
        <f t="shared" si="4"/>
        <v>0</v>
      </c>
      <c r="AK13" s="870">
        <f>SUBTOTAL(9,AK9:AK12)</f>
        <v>0</v>
      </c>
      <c r="AL13" s="874">
        <f>IF(ISNUMBER(NºAsuntos!G13/NºAsuntos!E13),NºAsuntos!G13/NºAsuntos!E13," - ")</f>
        <v>0.9846860643185299</v>
      </c>
      <c r="AM13" s="874">
        <f>IF(ISNUMBER(((NºAsuntos!I13/NºAsuntos!G13)*11)/factor_trimestre),((NºAsuntos!I13/NºAsuntos!G13)*11)/factor_trimestre," - ")</f>
        <v>11.584758942457233</v>
      </c>
      <c r="AN13" s="875">
        <f>IF(ISNUMBER('Resol  Asuntos'!D13/NºAsuntos!G13),'Resol  Asuntos'!D13/NºAsuntos!G13," - ")</f>
        <v>0.13530326594090203</v>
      </c>
      <c r="AO13" s="876">
        <f>IF(ISNUMBER((NºAsuntos!C13+NºAsuntos!E13)/NºAsuntos!G13),(NºAsuntos!C13+NºAsuntos!E13)/NºAsuntos!G13," - ")</f>
        <v>4.8615863141524107</v>
      </c>
      <c r="AP13" s="877" t="str">
        <f t="shared" si="2"/>
        <v xml:space="preserve"> - </v>
      </c>
      <c r="AQ13" s="877" t="str">
        <f>IF(ISNUMBER((H13-W13+K13)/(F13)),(H13-W13+K13)/(F13)," - ")</f>
        <v xml:space="preserve"> - </v>
      </c>
      <c r="AR13" s="878">
        <f>IF(ISNUMBER((Datos!P13-Datos!Q13)/(Datos!R13-Datos!P13+Datos!Q13)),(Datos!P13-Datos!Q13)/(Datos!R13-Datos!P13+Datos!Q13)," - ")</f>
        <v>2.8559065339679793E-2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1579</v>
      </c>
      <c r="G16" s="333">
        <f>IF(ISNUMBER(IF(D_I="SI",Datos!I16,Datos!I16+Datos!AC16)),IF(D_I="SI",Datos!I16,Datos!I16+Datos!AC16)," - ")</f>
        <v>1579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544</v>
      </c>
      <c r="X16" s="226">
        <f>IF(ISNUMBER(Datos!Q16),Datos!Q16," - ")</f>
        <v>5</v>
      </c>
      <c r="Y16" s="334">
        <f t="shared" ref="Y16:Y17" si="7">SUM(W16:X16)</f>
        <v>549</v>
      </c>
      <c r="Z16" s="335" t="str">
        <f>IF(ISNUMBER(Datos!CC16),Datos!CC16," - ")</f>
        <v xml:space="preserve"> - </v>
      </c>
      <c r="AA16" s="332">
        <f>IF(ISNUMBER(IF(D_I="SI",Datos!L16,Datos!L16+Datos!AF16)),IF(D_I="SI",Datos!L16,Datos!L16+Datos!AF16)," - ")</f>
        <v>1662</v>
      </c>
      <c r="AB16" s="334">
        <f>IF(ISNUMBER(Datos!R16),Datos!R16," - ")</f>
        <v>74</v>
      </c>
      <c r="AC16" s="334">
        <f t="shared" si="6"/>
        <v>1736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126</v>
      </c>
      <c r="AJ16" s="231" t="str">
        <f>IF(ISNUMBER(Datos!BW16),Datos!BW16," - ")</f>
        <v xml:space="preserve"> - </v>
      </c>
      <c r="AK16" s="232" t="str">
        <f>IF(ISNUMBER(Datos!BX16),Datos!BX16," - ")</f>
        <v xml:space="preserve"> - </v>
      </c>
      <c r="AL16" s="243">
        <f>IF(ISNUMBER(NºAsuntos!G16/NºAsuntos!E16),NºAsuntos!G16/NºAsuntos!E16," - ")</f>
        <v>0.86762360446570974</v>
      </c>
      <c r="AM16" s="260">
        <f>IF(ISNUMBER(((NºAsuntos!I16/NºAsuntos!G16)*11)/factor_trimestre),((NºAsuntos!I16/NºAsuntos!G16)*11)/factor_trimestre," - ")</f>
        <v>9.1654411764705888</v>
      </c>
      <c r="AN16" s="244">
        <f>IF(ISNUMBER('Resol  Asuntos'!D16/NºAsuntos!G16),'Resol  Asuntos'!D16/NºAsuntos!G16," - ")</f>
        <v>0.23161764705882354</v>
      </c>
      <c r="AO16" s="245">
        <f>IF(ISNUMBER((NºAsuntos!C16+NºAsuntos!E16)/NºAsuntos!G16),(NºAsuntos!C16+NºAsuntos!E16)/NºAsuntos!G16," - ")</f>
        <v>4.055147058823529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95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31</v>
      </c>
      <c r="X17" s="226">
        <f>IF(ISNUMBER(Datos!Q17),Datos!Q17," - ")</f>
        <v>0</v>
      </c>
      <c r="Y17" s="334">
        <f t="shared" si="7"/>
        <v>31</v>
      </c>
      <c r="Z17" s="335" t="str">
        <f>IF(ISNUMBER(Datos!CC17),Datos!CC17," - ")</f>
        <v xml:space="preserve"> - </v>
      </c>
      <c r="AA17" s="332">
        <f>IF(ISNUMBER(Datos!L17),Datos!L17,"-")</f>
        <v>126</v>
      </c>
      <c r="AB17" s="334">
        <f>IF(ISNUMBER(Datos!R17),Datos!R17," - ")</f>
        <v>0</v>
      </c>
      <c r="AC17" s="334">
        <f t="shared" si="6"/>
        <v>126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7</v>
      </c>
      <c r="AJ17" s="231" t="str">
        <f>IF(ISNUMBER(Datos!BW17),Datos!BW17," - ")</f>
        <v xml:space="preserve"> - </v>
      </c>
      <c r="AK17" s="232" t="str">
        <f>IF(ISNUMBER(Datos!BX17),Datos!BX17," - ")</f>
        <v xml:space="preserve"> - </v>
      </c>
      <c r="AL17" s="243">
        <f>IF(ISNUMBER(NºAsuntos!G17/NºAsuntos!E17),NºAsuntos!G17/NºAsuntos!E17," - ")</f>
        <v>0.5</v>
      </c>
      <c r="AM17" s="260">
        <f>IF(ISNUMBER(((NºAsuntos!I17/NºAsuntos!G17)*11)/factor_trimestre),((NºAsuntos!I17/NºAsuntos!G17)*11)/factor_trimestre," - ")</f>
        <v>12.193548387096776</v>
      </c>
      <c r="AN17" s="244">
        <f>IF(ISNUMBER('Resol  Asuntos'!D17/NºAsuntos!G17),'Resol  Asuntos'!D17/NºAsuntos!G17," - ")</f>
        <v>0.22580645161290322</v>
      </c>
      <c r="AO17" s="245">
        <f>IF(ISNUMBER((NºAsuntos!C17+NºAsuntos!E17)/NºAsuntos!G17),(NºAsuntos!C17+NºAsuntos!E17)/NºAsuntos!G17," - ")</f>
        <v>5.064516129032258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1579</v>
      </c>
      <c r="G18" s="866">
        <f>SUBTOTAL(9,G15:G17)</f>
        <v>1674</v>
      </c>
      <c r="H18" s="865">
        <f t="shared" ref="H18:O18" si="10">SUBTOTAL(9,H14:H17)</f>
        <v>0</v>
      </c>
      <c r="I18" s="867">
        <f t="shared" si="10"/>
        <v>0</v>
      </c>
      <c r="J18" s="867">
        <f t="shared" si="10"/>
        <v>0</v>
      </c>
      <c r="K18" s="867">
        <f t="shared" si="10"/>
        <v>0</v>
      </c>
      <c r="L18" s="867">
        <f t="shared" si="10"/>
        <v>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575</v>
      </c>
      <c r="X18" s="867">
        <f t="shared" si="11"/>
        <v>5</v>
      </c>
      <c r="Y18" s="868">
        <f t="shared" si="11"/>
        <v>580</v>
      </c>
      <c r="Z18" s="868">
        <f t="shared" si="11"/>
        <v>0</v>
      </c>
      <c r="AA18" s="868">
        <f t="shared" si="11"/>
        <v>1788</v>
      </c>
      <c r="AB18" s="868">
        <f t="shared" si="11"/>
        <v>74</v>
      </c>
      <c r="AC18" s="868">
        <f t="shared" si="11"/>
        <v>1862</v>
      </c>
      <c r="AD18" s="868">
        <f t="shared" si="11"/>
        <v>0</v>
      </c>
      <c r="AE18" s="872">
        <f t="shared" si="11"/>
        <v>0</v>
      </c>
      <c r="AF18" s="865">
        <f t="shared" si="11"/>
        <v>0</v>
      </c>
      <c r="AG18" s="873">
        <f t="shared" si="11"/>
        <v>0</v>
      </c>
      <c r="AH18" s="870">
        <f t="shared" si="11"/>
        <v>0</v>
      </c>
      <c r="AI18" s="865">
        <f t="shared" si="11"/>
        <v>133</v>
      </c>
      <c r="AJ18" s="867">
        <f t="shared" si="11"/>
        <v>0</v>
      </c>
      <c r="AK18" s="870">
        <f t="shared" si="11"/>
        <v>0</v>
      </c>
      <c r="AL18" s="874">
        <f>IF(ISNUMBER(NºAsuntos!G18/NºAsuntos!E18),NºAsuntos!G18/NºAsuntos!E18," - ")</f>
        <v>0.83454281567489119</v>
      </c>
      <c r="AM18" s="874">
        <f>IF(ISNUMBER(((NºAsuntos!I18/NºAsuntos!G18)*11)/factor_trimestre),((NºAsuntos!I18/NºAsuntos!G18)*11)/factor_trimestre," - ")</f>
        <v>9.3286956521739146</v>
      </c>
      <c r="AN18" s="875">
        <f>IF(ISNUMBER('Resol  Asuntos'!D18/NºAsuntos!G18),'Resol  Asuntos'!D18/NºAsuntos!G18," - ")</f>
        <v>0.23130434782608697</v>
      </c>
      <c r="AO18" s="876">
        <f>IF(ISNUMBER((NºAsuntos!C18+NºAsuntos!E18)/NºAsuntos!G18),(NºAsuntos!C18+NºAsuntos!E18)/NºAsuntos!G18," - ")</f>
        <v>4.109565217391304</v>
      </c>
      <c r="AP18" s="877" t="str">
        <f t="shared" si="2"/>
        <v xml:space="preserve"> - </v>
      </c>
      <c r="AQ18" s="877">
        <f>IF(ISNUMBER((H18-W18+K18)/(F18)),(H18-W18+K18)/(F18)," - ")</f>
        <v>-0.36415452818239391</v>
      </c>
      <c r="AR18" s="878">
        <f>IF(ISNUMBER((Datos!P18-Datos!Q18)/(Datos!R18-Datos!P18+Datos!Q18)),(Datos!P18-Datos!Q18)/(Datos!R18-Datos!P18+Datos!Q18)," - ")</f>
        <v>1.3698630136986301E-2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1579</v>
      </c>
      <c r="G19" s="821">
        <f t="shared" si="13"/>
        <v>1674</v>
      </c>
      <c r="H19" s="820">
        <f t="shared" si="13"/>
        <v>0</v>
      </c>
      <c r="I19" s="822">
        <f t="shared" si="13"/>
        <v>0</v>
      </c>
      <c r="J19" s="822">
        <f t="shared" si="13"/>
        <v>0</v>
      </c>
      <c r="K19" s="881">
        <f t="shared" si="13"/>
        <v>0</v>
      </c>
      <c r="L19" s="822">
        <f t="shared" si="13"/>
        <v>153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575</v>
      </c>
      <c r="X19" s="821">
        <f t="shared" si="14"/>
        <v>86</v>
      </c>
      <c r="Y19" s="828">
        <f t="shared" si="14"/>
        <v>661</v>
      </c>
      <c r="Z19" s="828">
        <f t="shared" si="14"/>
        <v>0</v>
      </c>
      <c r="AA19" s="828">
        <f t="shared" si="14"/>
        <v>1789</v>
      </c>
      <c r="AB19" s="828">
        <f t="shared" si="14"/>
        <v>2451</v>
      </c>
      <c r="AC19" s="828">
        <f t="shared" si="14"/>
        <v>1863</v>
      </c>
      <c r="AD19" s="828">
        <f t="shared" si="14"/>
        <v>0</v>
      </c>
      <c r="AE19" s="830">
        <f t="shared" si="14"/>
        <v>0</v>
      </c>
      <c r="AF19" s="831">
        <f t="shared" si="14"/>
        <v>0</v>
      </c>
      <c r="AG19" s="832">
        <f t="shared" si="14"/>
        <v>0</v>
      </c>
      <c r="AH19" s="830">
        <f t="shared" si="14"/>
        <v>0</v>
      </c>
      <c r="AI19" s="820">
        <f t="shared" si="14"/>
        <v>220</v>
      </c>
      <c r="AJ19" s="820">
        <f t="shared" si="14"/>
        <v>0</v>
      </c>
      <c r="AK19" s="830">
        <f t="shared" si="14"/>
        <v>0</v>
      </c>
      <c r="AL19" s="884">
        <f>IF(ISNUMBER(NºAsuntos!G19/NºAsuntos!E19),NºAsuntos!G19/NºAsuntos!E19," - ")</f>
        <v>0.90760059612518629</v>
      </c>
      <c r="AM19" s="885">
        <f>IF(ISNUMBER(((NºAsuntos!I19/NºAsuntos!G19)*11)/factor_trimestre),((NºAsuntos!I19/NºAsuntos!G19)*11)/factor_trimestre," - ")</f>
        <v>10.519704433497537</v>
      </c>
      <c r="AN19" s="885">
        <f>IF(ISNUMBER('Resol  Asuntos'!D19/NºAsuntos!G19),'Resol  Asuntos'!D19/NºAsuntos!G19," - ")</f>
        <v>0.180623973727422</v>
      </c>
      <c r="AO19" s="886">
        <f>IF(ISNUMBER((NºAsuntos!C19+NºAsuntos!E19)/NºAsuntos!G19),(NºAsuntos!C19+NºAsuntos!E19)/NºAsuntos!G19," - ")</f>
        <v>4.5065681444991794</v>
      </c>
      <c r="AP19" s="887" t="str">
        <f t="shared" si="2"/>
        <v xml:space="preserve"> - </v>
      </c>
      <c r="AQ19" s="888">
        <f>IF(OR(ISNUMBER(FIND("01",Criterios!A8,1)),ISNUMBER(FIND("02",Criterios!A8,1)),ISNUMBER(FIND("03",Criterios!A8,1)),ISNUMBER(FIND("04",Criterios!A8,1))),(I19-W19+K19)/(F19-K19),(H19-W19+K19)/(F19-K19))</f>
        <v>-0.36415452818239391</v>
      </c>
      <c r="AR19" s="889">
        <f>IF(ISNUMBER((Datos!P19-Datos!Q19)/(Datos!R19-Datos!P19+Datos!Q19)),(Datos!P19-Datos!Q19)/(Datos!R19-Datos!P19+Datos!Q19)," - ")</f>
        <v>2.8104026845637585E-2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669.6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911.63607505041909</v>
      </c>
      <c r="G21" s="253">
        <f>IF(ISNUMBER(STDEV(G8:G18)),STDEV(G8:G18),"-")</f>
        <v>875.03159942941488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301.25653519882354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57.420089399674978</v>
      </c>
      <c r="AJ21" s="252">
        <f t="shared" si="18"/>
        <v>0</v>
      </c>
      <c r="AK21" s="254">
        <f t="shared" si="18"/>
        <v>0</v>
      </c>
      <c r="AL21" s="249">
        <f t="shared" si="18"/>
        <v>0.38445620533293456</v>
      </c>
      <c r="AM21" s="250">
        <f t="shared" si="18"/>
        <v>1.4140844452605639</v>
      </c>
      <c r="AN21" s="250">
        <f t="shared" si="18"/>
        <v>5.1687079484025955E-2</v>
      </c>
      <c r="AO21" s="251">
        <f t="shared" si="18"/>
        <v>0.471361481753519</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srr7iqT9LfoIOC7z5QwaqLr2blcD8ieo3qkky+9DmqqUDYynGaP05KiE3R4t8gGlcZ3LXTTZbQrErtEAqdcoIA==" saltValue="/HW5mFXDuFz0xKEPO6o9G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HUELVA</v>
      </c>
      <c r="E3" s="263"/>
    </row>
    <row r="4" spans="2:20" ht="17.25" customHeight="1" thickBot="1">
      <c r="D4" s="262" t="str">
        <f>Criterios!A11 &amp;"  "&amp;Criterios!B11</f>
        <v>Resumenes por Partidos Judiciales  MOGUER</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v>
      </c>
      <c r="E10" s="348">
        <f>IF(ISNUMBER((Datos!J10-Datos!T10)/Datos!T10),(Datos!J10-Datos!T10)/Datos!T10," - ")</f>
        <v>-0.5</v>
      </c>
      <c r="F10" s="348">
        <f>IF(ISNUMBER((Datos!K10-Datos!U10)/Datos!U10),(Datos!K10-Datos!U10)/Datos!U10," - ")</f>
        <v>-1</v>
      </c>
      <c r="G10" s="349">
        <f>IF(ISNUMBER((Datos!L10-Datos!V10)/Datos!V10),(Datos!L10-Datos!V10)/Datos!V10," - ")</f>
        <v>-0.9</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-0.4041095890410959</v>
      </c>
      <c r="I12" s="350">
        <f>IF(ISNUMBER((Tasas!C12-Datos!BE12)/Datos!BE12),(Tasas!C12-Datos!BE12)/Datos!BE12," - ")</f>
        <v>0.26481193479638265</v>
      </c>
      <c r="J12" s="349">
        <f>IF(ISNUMBER((Tasas!D12-Datos!BF12)/Datos!BF12),(Tasas!D12-Datos!BF12)/Datos!BF12," - ")</f>
        <v>-0.71892802213381679</v>
      </c>
      <c r="K12" s="351">
        <f>IF(ISNUMBER((Tasas!E12-Datos!BG12)/Datos!BG12),(Tasas!E12-Datos!BG12)/Datos!BG12," - ")</f>
        <v>0.19945631452500751</v>
      </c>
      <c r="M12" t="e">
        <f>IF(Monitorios="SI",Datos!CE12,0)</f>
        <v>#REF!</v>
      </c>
      <c r="N12" t="e">
        <f>IF(Monitorios="SI",Datos!CF12,0)</f>
        <v>#REF!</v>
      </c>
      <c r="O12" t="e">
        <f>IF(Monitorios="SI",Datos!CG12,0)</f>
        <v>#REF!</v>
      </c>
      <c r="P12" t="e">
        <f>IF(Monitorios="SI",Datos!CH12,0)</f>
        <v>#REF!</v>
      </c>
      <c r="Q12">
        <f>IF(J_V="SI",0,Datos!AG12)</f>
        <v>54</v>
      </c>
      <c r="R12">
        <f>IF(J_V="SI",0,Datos!AH12)</f>
        <v>25</v>
      </c>
      <c r="S12">
        <f>IF(J_V="SI",0,Datos!AI12)</f>
        <v>26</v>
      </c>
      <c r="T12">
        <f>IF(J_V="SI",0,Datos!AJ12)</f>
        <v>53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-0.4041095890410959</v>
      </c>
      <c r="I13" s="357">
        <f>IF(ISNUMBER((Tasas!C13-Datos!BE13)/Datos!BE13),(Tasas!C13-Datos!BE13)/Datos!BE13," - ")</f>
        <v>0.27155922448662889</v>
      </c>
      <c r="J13" s="355">
        <f>IF(ISNUMBER((Tasas!D13-Datos!BF13)/Datos!BF13),(Tasas!D13-Datos!BF13)/Datos!BF13," - ")</f>
        <v>-0.716311660637722</v>
      </c>
      <c r="K13" s="358">
        <f>IF(ISNUMBER((Tasas!E13-Datos!BG13)/Datos!BG13),(Tasas!E13-Datos!BG13)/Datos!BG13," - ")</f>
        <v>0.20428982129297638</v>
      </c>
      <c r="M13" t="e">
        <f>IF(Monitorios="SI",Datos!CE13,0)</f>
        <v>#REF!</v>
      </c>
      <c r="N13" t="e">
        <f>IF(Monitorios="SI",Datos!CF13,0)</f>
        <v>#REF!</v>
      </c>
      <c r="O13" t="e">
        <f>IF(Monitorios="SI",Datos!CG13,0)</f>
        <v>#REF!</v>
      </c>
      <c r="P13" t="e">
        <f>IF(Monitorios="SI",Datos!CH13,0)</f>
        <v>#REF!</v>
      </c>
      <c r="Q13">
        <f>IF(J_V="SI",0,Datos!AG13)</f>
        <v>54</v>
      </c>
      <c r="R13">
        <f>IF(J_V="SI",0,Datos!AH13)</f>
        <v>25</v>
      </c>
      <c r="S13">
        <f>IF(J_V="SI",0,Datos!AI13)</f>
        <v>26</v>
      </c>
      <c r="T13">
        <f>IF(J_V="SI",0,Datos!AJ13)</f>
        <v>53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0.18990203466465713</v>
      </c>
      <c r="E16" s="348">
        <f>IF(ISNUMBER(
   IF(D_I="SI",(Datos!J16-Datos!T16)/Datos!T16,(Datos!J16+Datos!AD16-(Datos!T16+Datos!AL16))/(Datos!T16+Datos!AL16))
     ),IF(D_I="SI",(Datos!J16-Datos!T16)/Datos!T16,(Datos!J16+Datos!AD16-(Datos!T16+Datos!AL16))/(Datos!T16+Datos!AL16))," - ")</f>
        <v>-4.2748091603053436E-2</v>
      </c>
      <c r="F16" s="348">
        <f>IF(ISNUMBER(
   IF(D_I="SI",(Datos!K16-Datos!U16)/Datos!U16,(Datos!K16+Datos!AE16-(Datos!U16+Datos!AM16))/(Datos!U16+Datos!AM16))
     ),IF(D_I="SI",(Datos!K16-Datos!U16)/Datos!U16,(Datos!K16+Datos!AE16-(Datos!U16+Datos!AM16))/(Datos!U16+Datos!AM16))," - ")</f>
        <v>-0.20234604105571846</v>
      </c>
      <c r="G16" s="349">
        <f>IF(ISNUMBER(
   IF(D_I="SI",(Datos!L16-Datos!V16)/Datos!V16,(Datos!L16+Datos!AF16-(Datos!V16+Datos!AN16))/(Datos!V16+Datos!AN16))
     ),IF(D_I="SI",(Datos!L16-Datos!V16)/Datos!V16,(Datos!L16+Datos!AF16-(Datos!V16+Datos!AN16))/(Datos!V16+Datos!AN16))," - ")</f>
        <v>0.27846153846153848</v>
      </c>
      <c r="H16" s="230">
        <f>IF(ISNUMBER((Datos!M16-Datos!W16)/Datos!W16),(Datos!M16-Datos!W16)/Datos!W16," - ")</f>
        <v>0.46511627906976744</v>
      </c>
      <c r="I16" s="350">
        <f>IF(ISNUMBER((Tasas!C16-Datos!BE16)/Datos!BE16),(Tasas!C16-Datos!BE16)/Datos!BE16," - ")</f>
        <v>0.60277714932126691</v>
      </c>
      <c r="J16" s="349">
        <f>IF(ISNUMBER((Tasas!D16-Datos!BF16)/Datos!BF16),(Tasas!D16-Datos!BF16)/Datos!BF16," - ")</f>
        <v>0.83678180574555416</v>
      </c>
      <c r="K16" s="351">
        <f>IF(ISNUMBER((Tasas!E16-Datos!BG16)/Datos!BG16),(Tasas!E16-Datos!BG16)/Datos!BG16," - ")</f>
        <v>0.39536341781919609</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1.5675675675675675</v>
      </c>
      <c r="E17" s="348">
        <f>IF(ISNUMBER(
   IF(D_I="SI",(Datos!J17-Datos!T17)/Datos!T17,(Datos!J17+Datos!AD17-(Datos!T17+Datos!AL17))/(Datos!T17+Datos!AL17))
     ),IF(D_I="SI",(Datos!J17-Datos!T17)/Datos!T17,(Datos!J17+Datos!AD17-(Datos!T17+Datos!AL17))/(Datos!T17+Datos!AL17))," - ")</f>
        <v>-0.1388888888888889</v>
      </c>
      <c r="F17" s="348">
        <f>IF(ISNUMBER(
   IF(D_I="SI",(Datos!K17-Datos!U17)/Datos!U17,(Datos!K17+Datos!AE17-(Datos!U17+Datos!AM17))/(Datos!U17+Datos!AM17))
     ),IF(D_I="SI",(Datos!K17-Datos!U17)/Datos!U17,(Datos!K17+Datos!AE17-(Datos!U17+Datos!AM17))/(Datos!U17+Datos!AM17))," - ")</f>
        <v>-0.60759493670886078</v>
      </c>
      <c r="G17" s="349">
        <f>IF(ISNUMBER(
   IF(D_I="SI",(Datos!L17-Datos!V17)/Datos!V17,(Datos!L17+Datos!AF17-(Datos!V17+Datos!AN17))/(Datos!V17+Datos!AN17))
     ),IF(D_I="SI",(Datos!L17-Datos!V17)/Datos!V17,(Datos!L17+Datos!AF17-(Datos!V17+Datos!AN17))/(Datos!V17+Datos!AN17))," - ")</f>
        <v>3.2</v>
      </c>
      <c r="H17" s="230">
        <f>IF(ISNUMBER((Datos!M17-Datos!W17)/Datos!W17),(Datos!M17-Datos!W17)/Datos!W17," - ")</f>
        <v>-0.5</v>
      </c>
      <c r="I17" s="350">
        <f>IF(ISNUMBER((Tasas!C17-Datos!BE17)/Datos!BE17),(Tasas!C17-Datos!BE17)/Datos!BE17," - ")</f>
        <v>9.703225806451611</v>
      </c>
      <c r="J17" s="349">
        <f>IF(ISNUMBER((Tasas!D17-Datos!BF17)/Datos!BF17),(Tasas!D17-Datos!BF17)/Datos!BF17," - ")</f>
        <v>0.27419354838709675</v>
      </c>
      <c r="K17" s="351">
        <f>IF(ISNUMBER((Tasas!E17-Datos!BG17)/Datos!BG17),(Tasas!E17-Datos!BG17)/Datos!BG17," - ")</f>
        <v>2.6706126072802601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0.22727272727272727</v>
      </c>
      <c r="E18" s="354">
        <f>IF(ISNUMBER(
   IF(D_I="SI",(Datos!J18-Datos!T18)/Datos!T18,(Datos!J18+Datos!AD18-(Datos!T18+Datos!AL18))/(Datos!T18+Datos!AL18))
     ),IF(D_I="SI",(Datos!J18-Datos!T18)/Datos!T18,(Datos!J18+Datos!AD18-(Datos!T18+Datos!AL18))/(Datos!T18+Datos!AL18))," - ")</f>
        <v>-5.2269601100412656E-2</v>
      </c>
      <c r="F18" s="354">
        <f>IF(ISNUMBER(
   IF(D_I="SI",(Datos!K18-Datos!U18)/Datos!U18,(Datos!K18+Datos!AE18-(Datos!U18+Datos!AM18))/(Datos!U18+Datos!AM18))
     ),IF(D_I="SI",(Datos!K18-Datos!U18)/Datos!U18,(Datos!K18+Datos!AE18-(Datos!U18+Datos!AM18))/(Datos!U18+Datos!AM18))," - ")</f>
        <v>-0.24441524310118265</v>
      </c>
      <c r="G18" s="355">
        <f>IF(ISNUMBER(
   IF(D_I="SI",(Datos!L18-Datos!V18)/Datos!V18,(Datos!L18+Datos!AF18-(Datos!V18+Datos!AN18))/(Datos!V18+Datos!AN18))
     ),IF(D_I="SI",(Datos!L18-Datos!V18)/Datos!V18,(Datos!L18+Datos!AF18-(Datos!V18+Datos!AN18))/(Datos!V18+Datos!AN18))," - ")</f>
        <v>0.34436090225563909</v>
      </c>
      <c r="H18" s="356">
        <f>IF(ISNUMBER((Datos!M18-Datos!W18)/Datos!W18),(Datos!M18-Datos!W18)/Datos!W18," - ")</f>
        <v>0.33</v>
      </c>
      <c r="I18" s="357">
        <f>IF(ISNUMBER((Tasas!C18-Datos!BE18)/Datos!BE18),(Tasas!C18-Datos!BE18)/Datos!BE18," - ")</f>
        <v>0.77923242889833289</v>
      </c>
      <c r="J18" s="355">
        <f>IF(ISNUMBER((Tasas!D18-Datos!BF18)/Datos!BF18),(Tasas!D18-Datos!BF18)/Datos!BF18," - ")</f>
        <v>0.76022608695652183</v>
      </c>
      <c r="K18" s="358">
        <f>IF(ISNUMBER((Tasas!E18-Datos!BG18)/Datos!BG18),(Tasas!E18-Datos!BG18)/Datos!BG18," - ")</f>
        <v>0.49563803464121575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0.10146082337317397</v>
      </c>
      <c r="E19" s="363">
        <f>IF(ISNUMBER(
   IF(J_V="SI",(Datos!J19-Datos!T19)/Datos!T19,(Datos!J19+Datos!Z19-(Datos!T19+Datos!AH19))/(Datos!T19+Datos!AH19))
     ),IF(J_V="SI",(Datos!J19-Datos!T19)/Datos!T19,(Datos!J19+Datos!Z19-(Datos!T19+Datos!AH19))/(Datos!T19+Datos!AH19))," - ")</f>
        <v>-3.4532374100719423E-2</v>
      </c>
      <c r="F19" s="363">
        <f>IF(ISNUMBER(
   IF(J_V="SI",(Datos!K19-Datos!U19)/Datos!U19,(Datos!K19+Datos!AA19-(Datos!U19+Datos!AI19))/(Datos!U19+Datos!AI19))
     ),IF(J_V="SI",(Datos!K19-Datos!U19)/Datos!U19,(Datos!K19+Datos!AA19-(Datos!U19+Datos!AI19))/(Datos!U19+Datos!AI19))," - ")</f>
        <v>-0.1986842105263158</v>
      </c>
      <c r="G19" s="364">
        <f>IF(ISNUMBER(
   IF(J_V="SI",(Datos!L19-Datos!V19)/Datos!V19,(Datos!L19+Datos!AB19-(Datos!V19+Datos!AJ19))/(Datos!V19+Datos!AJ19))
     ),IF(J_V="SI",(Datos!L19-Datos!V19)/Datos!V19,(Datos!L19+Datos!AB19-(Datos!V19+Datos!AJ19))/(Datos!V19+Datos!AJ19))," - ")</f>
        <v>0.1749656121045392</v>
      </c>
      <c r="H19" s="365">
        <f>IF(ISNUMBER((Datos!M19-Datos!W19)/Datos!W19),(Datos!M19-Datos!W19)/Datos!W19," - ")</f>
        <v>-0.10569105691056911</v>
      </c>
      <c r="I19" s="362">
        <f>IF(ISNUMBER((Tasas!C19-Datos!BE19)/Datos!BE19),(Tasas!C19-Datos!BE19)/Datos!BE19," - ")</f>
        <v>0.46629534515508997</v>
      </c>
      <c r="J19" s="363">
        <f>IF(ISNUMBER((Tasas!D19-Datos!BF19)/Datos!BF19),(Tasas!D19-Datos!BF19)/Datos!BF19," - ")</f>
        <v>-0.40573930721713974</v>
      </c>
      <c r="K19" s="364">
        <f>IF(ISNUMBER((Tasas!E19-Datos!BG19)/Datos!BG19),(Tasas!E19-Datos!BG19)/Datos!BG19," - ")</f>
        <v>0.32880379818404515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1.0492146889208376</v>
      </c>
      <c r="E21" s="278">
        <f t="shared" si="1"/>
        <v>0.21540265888605409</v>
      </c>
      <c r="F21" s="278">
        <f t="shared" si="1"/>
        <v>0.37182409279698975</v>
      </c>
      <c r="G21" s="279">
        <f t="shared" si="1"/>
        <v>1.7426419123861627</v>
      </c>
      <c r="H21" s="285">
        <f t="shared" si="1"/>
        <v>0.46075681111912004</v>
      </c>
      <c r="I21" s="277">
        <f t="shared" si="1"/>
        <v>4.1308188220284379</v>
      </c>
      <c r="J21" s="278">
        <f t="shared" si="1"/>
        <v>0.76571485569447695</v>
      </c>
      <c r="K21" s="279">
        <f t="shared" si="1"/>
        <v>1.0572182660265299</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g/6a4yZ4pU0JI0DnvIp8CMzuuu391pcvkYHgpeTtPss4dMG9WXShFynqERs4O+/TABPxNlill4GoJ1f/jy7bxA==" saltValue="PznQEJgYaE/QQ9fuFZVam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2024-05-29T12:20:10Z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